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2790" windowWidth="11400" windowHeight="6345" activeTab="0"/>
  </bookViews>
  <sheets>
    <sheet name="Kuntakortti" sheetId="1" r:id="rId1"/>
    <sheet name="Luvut" sheetId="2" r:id="rId2"/>
  </sheets>
  <definedNames>
    <definedName name="_xlnm.Print_Area" localSheetId="0">'Kuntakortti'!$A$1:$L$76</definedName>
  </definedNames>
  <calcPr fullCalcOnLoad="1"/>
</workbook>
</file>

<file path=xl/sharedStrings.xml><?xml version="1.0" encoding="utf-8"?>
<sst xmlns="http://schemas.openxmlformats.org/spreadsheetml/2006/main" count="665" uniqueCount="418">
  <si>
    <t>Kunta</t>
  </si>
  <si>
    <t>Asukasluku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</si>
  <si>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</si>
  <si>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</si>
  <si>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</si>
  <si>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</si>
  <si>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</si>
  <si>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</si>
  <si>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</si>
  <si>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</si>
  <si>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</si>
  <si>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</si>
  <si>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</si>
  <si>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</si>
  <si>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</si>
  <si>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</si>
  <si>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</si>
  <si>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</si>
  <si>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</si>
  <si>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</si>
  <si>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</si>
  <si>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</si>
  <si>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</si>
  <si>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</si>
  <si>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</si>
  <si>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</si>
  <si>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</si>
  <si>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</si>
  <si>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</si>
  <si>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</si>
  <si>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</si>
  <si>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</si>
  <si>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</si>
  <si>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</si>
  <si>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</si>
  <si>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</si>
  <si>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</si>
  <si>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</si>
  <si>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</si>
  <si>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</si>
  <si>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</si>
  <si>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</si>
  <si>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</si>
  <si>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</si>
  <si>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</si>
  <si>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</si>
  <si>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</si>
  <si>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</si>
  <si>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</si>
  <si>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</si>
  <si>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Jalasjärvi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</si>
  <si>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</si>
  <si>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</si>
  <si>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</si>
  <si>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</si>
  <si>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</si>
  <si>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</si>
  <si>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</si>
  <si>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</si>
  <si>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</si>
  <si>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</si>
  <si>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</si>
  <si>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</si>
  <si>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</si>
  <si>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</si>
  <si>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</si>
  <si>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</si>
  <si>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</si>
  <si>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</si>
  <si>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</si>
  <si>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</si>
  <si>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</si>
  <si>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</si>
  <si>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</si>
  <si>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</si>
  <si>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</si>
  <si>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</si>
  <si>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</si>
  <si>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</si>
  <si>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</si>
  <si>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</si>
  <si>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</si>
  <si>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</si>
  <si>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</si>
  <si>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</si>
  <si>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</si>
  <si>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</si>
  <si>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</si>
  <si>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</si>
  <si>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</si>
  <si>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</si>
  <si>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</si>
  <si>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</si>
  <si>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</si>
  <si>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</si>
  <si>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</si>
  <si>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</si>
  <si>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</si>
  <si>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</si>
  <si>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</si>
  <si>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</si>
  <si>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Hämeenkoski</t>
  </si>
  <si>
    <t>Koski tl</t>
  </si>
  <si>
    <t>Kotka</t>
  </si>
  <si>
    <t>Kouvola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</si>
  <si>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</si>
  <si>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</si>
  <si>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</si>
  <si>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</si>
  <si>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</si>
  <si>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</si>
  <si>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</si>
  <si>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</si>
  <si>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</si>
  <si>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</si>
  <si>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</si>
  <si>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</si>
  <si>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Köyliö</t>
  </si>
  <si>
    <t>Kemijärvi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</si>
  <si>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</si>
  <si>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</si>
  <si>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</si>
  <si>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</si>
  <si>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</si>
  <si>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</si>
  <si>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</si>
  <si>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</si>
  <si>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</si>
  <si>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Lavia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</si>
  <si>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</si>
  <si>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</si>
  <si>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</si>
  <si>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</si>
  <si>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</si>
  <si>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</si>
  <si>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</si>
  <si>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</si>
  <si>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</si>
  <si>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</si>
  <si>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</si>
  <si>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</si>
  <si>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</si>
  <si>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</si>
  <si>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</si>
  <si>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</si>
  <si>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</si>
  <si>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Maalahti</t>
  </si>
  <si>
    <t>Maaninka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</si>
  <si>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</si>
  <si>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</si>
  <si>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</si>
  <si>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</si>
  <si>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</si>
  <si>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</si>
  <si>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</si>
  <si>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</si>
  <si>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</si>
  <si>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</si>
  <si>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</si>
  <si>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</si>
  <si>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</si>
  <si>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</si>
  <si>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</si>
  <si>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Naantali</t>
  </si>
  <si>
    <t>Nakkila</t>
  </si>
  <si>
    <t>Nastola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</si>
  <si>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</si>
  <si>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</si>
  <si>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</si>
  <si>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</si>
  <si>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</si>
  <si>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</si>
  <si>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</si>
  <si>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</si>
  <si>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</si>
  <si>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</si>
  <si>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</si>
  <si>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</si>
  <si>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</si>
  <si>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</si>
  <si>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</si>
  <si>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</si>
  <si>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</si>
  <si>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</si>
  <si>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</si>
  <si>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</si>
  <si>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</si>
  <si>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</si>
  <si>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</si>
  <si>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</si>
  <si>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</si>
  <si>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</si>
  <si>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</si>
  <si>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</si>
  <si>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</si>
  <si>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</si>
  <si>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</si>
  <si>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</si>
  <si>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</si>
  <si>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</si>
  <si>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</si>
  <si>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</si>
  <si>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</si>
  <si>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</si>
  <si>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</si>
  <si>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</si>
  <si>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</si>
  <si>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</si>
  <si>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</si>
  <si>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</si>
  <si>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</si>
  <si>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</si>
  <si>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</si>
  <si>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</si>
  <si>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</si>
  <si>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</si>
  <si>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</si>
  <si>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</si>
  <si>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</si>
  <si>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</si>
  <si>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</si>
  <si>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</si>
  <si>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</si>
  <si>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</si>
  <si>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</si>
  <si>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</si>
  <si>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</si>
  <si>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</si>
  <si>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</si>
  <si>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</si>
  <si>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</si>
  <si>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</si>
  <si>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</si>
  <si>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</si>
  <si>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</si>
  <si>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</si>
  <si>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</si>
  <si>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</si>
  <si>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</si>
  <si>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</si>
  <si>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</si>
  <si>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</si>
  <si>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</si>
  <si>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</si>
  <si>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</si>
  <si>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</si>
  <si>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</si>
  <si>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</si>
  <si>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</si>
  <si>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</si>
  <si>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</si>
  <si>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Taipalsaari</t>
  </si>
  <si>
    <t>Taivalkoski</t>
  </si>
  <si>
    <t>Taivassalo</t>
  </si>
  <si>
    <t>Tammela</t>
  </si>
  <si>
    <t>Tampere</t>
  </si>
  <si>
    <t>Tarvasjoki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</si>
  <si>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</si>
  <si>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</si>
  <si>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</si>
  <si>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</si>
  <si>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</si>
  <si>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</si>
  <si>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</si>
  <si>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</si>
  <si>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</si>
  <si>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</si>
  <si>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</si>
  <si>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</si>
  <si>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</si>
  <si>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</si>
  <si>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</si>
  <si>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</si>
  <si>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</si>
  <si>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</si>
  <si>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</si>
  <si>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</si>
  <si>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</si>
  <si>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</si>
  <si>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</si>
  <si>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</si>
  <si>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</si>
  <si>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</si>
  <si>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</si>
  <si>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</si>
  <si>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</si>
  <si>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</si>
  <si>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</si>
  <si>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</si>
  <si>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</si>
  <si>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Ylitornio</t>
  </si>
  <si>
    <t>Ylivieska</t>
  </si>
  <si>
    <t>Ylöjärvi</t>
  </si>
  <si>
    <t>Ypäjä</t>
  </si>
  <si>
    <t>Ähtäri</t>
  </si>
  <si>
    <t>Äänekoski</t>
  </si>
  <si>
    <t>Alv-takaisinperintä</t>
  </si>
  <si>
    <t>Toimintatuotot</t>
  </si>
  <si>
    <t>Toimintakulut</t>
  </si>
  <si>
    <t>Toimintakate</t>
  </si>
  <si>
    <t>Verotulot</t>
  </si>
  <si>
    <t>Valtionosuudet</t>
  </si>
  <si>
    <t>Käyttökate</t>
  </si>
  <si>
    <t>Vuosikate</t>
  </si>
  <si>
    <t>Tilikauden tulos</t>
  </si>
  <si>
    <t>Poistoeron lisäys(-) tai vähennys(+)</t>
  </si>
  <si>
    <t>Varausten lisäys(-) tai vähennys(+)</t>
  </si>
  <si>
    <t>Rahastojen lisäys(-) tai vähennys(+)</t>
  </si>
  <si>
    <t>Tilikauden yli- tai alijäämä</t>
  </si>
  <si>
    <t>Tuloslaskelma</t>
  </si>
  <si>
    <t>Rahoituslaskelma</t>
  </si>
  <si>
    <t>Pitkäaikaisten lainojen vähennys</t>
  </si>
  <si>
    <t>Investoinnit, netto</t>
  </si>
  <si>
    <t>Muut rahoituskulut/-tuotot, netto</t>
  </si>
  <si>
    <t>Korkotuotot/-menot, netto</t>
  </si>
  <si>
    <t>Kassan riittävyys, pv</t>
  </si>
  <si>
    <t>Lainanhoitokate</t>
  </si>
  <si>
    <t>Suhteellinen velkaantuneisuus-%</t>
  </si>
  <si>
    <t>Suunnitelman mukaiset poistot</t>
  </si>
  <si>
    <t>Tunnuslukuja</t>
  </si>
  <si>
    <t>Satunnaiset tuotot</t>
  </si>
  <si>
    <t>Satunnaiset kulut</t>
  </si>
  <si>
    <t xml:space="preserve"> </t>
  </si>
  <si>
    <t>Kunnallisvero</t>
  </si>
  <si>
    <t>Yhteisövero</t>
  </si>
  <si>
    <t>Kiinteistövero</t>
  </si>
  <si>
    <t>Suhteellinen velkaantuneisuus</t>
  </si>
  <si>
    <t>Veroprosenttiyksikön tuotto</t>
  </si>
  <si>
    <t>Sijoitus vuosikatteen mukaan</t>
  </si>
  <si>
    <t>Tuloveroprosentti</t>
  </si>
  <si>
    <t>Osuus yhteisöveron tuotosta</t>
  </si>
  <si>
    <t>Pedersören kunta</t>
  </si>
  <si>
    <t>Lainat, euro/as</t>
  </si>
  <si>
    <t>Rahoitusvarallisuus, euro/as</t>
  </si>
  <si>
    <t>Kassastamaksut, euro/as</t>
  </si>
  <si>
    <t>euro/as</t>
  </si>
  <si>
    <t>Lainat e/asukas</t>
  </si>
  <si>
    <t>-</t>
  </si>
  <si>
    <t>Henkilöstökulut</t>
  </si>
  <si>
    <t>Suunnitelman mukaiset poistot ja arvonalen.</t>
  </si>
  <si>
    <t>Valitse kunta valikosta:</t>
  </si>
  <si>
    <t>Suunnitelman mukaiset poistot ja arvonalet</t>
  </si>
  <si>
    <t>Omavaraisuusaste, %</t>
  </si>
  <si>
    <t>Kassasta maksut, €/as</t>
  </si>
  <si>
    <t>Palvelujen ostot</t>
  </si>
  <si>
    <r>
      <t xml:space="preserve">Henkilöstömenot </t>
    </r>
    <r>
      <rPr>
        <sz val="8"/>
        <rFont val="Arial"/>
        <family val="2"/>
      </rPr>
      <t>(palkat+sivukulut)</t>
    </r>
  </si>
  <si>
    <t>Lähde: Tilastokeskus</t>
  </si>
  <si>
    <t>Toiminnan ja investointien rahavirta</t>
  </si>
  <si>
    <t>Yhden veroprosentin tuotto 2006</t>
  </si>
  <si>
    <t>Akaa</t>
  </si>
  <si>
    <t>Valtionosuudet,</t>
  </si>
  <si>
    <t>josta hark.var. avustus</t>
  </si>
  <si>
    <t xml:space="preserve"> - Investointimenot</t>
  </si>
  <si>
    <t xml:space="preserve"> + Rahoitusosuudet investointimenoihin</t>
  </si>
  <si>
    <t xml:space="preserve"> + Investointihyödykkeiden luovutustulot</t>
  </si>
  <si>
    <t>Pitkäaikaisten lainojen lisäys</t>
  </si>
  <si>
    <t xml:space="preserve"> ± Lyhytaikaisten lainojen muutos</t>
  </si>
  <si>
    <t>muut.%</t>
  </si>
  <si>
    <t>Lainakanta</t>
  </si>
  <si>
    <t>josta pitkäaikainen laina</t>
  </si>
  <si>
    <t>josta lyhytaikainen laina</t>
  </si>
  <si>
    <t>Lainakanta,</t>
  </si>
  <si>
    <t>Lainasaamiset</t>
  </si>
  <si>
    <t>josta pitkäaik</t>
  </si>
  <si>
    <t>Tuloveroprosentti 2007</t>
  </si>
  <si>
    <t>Konsernilainat €/as</t>
  </si>
  <si>
    <t>Rahoitusvarallisuus, e/as</t>
  </si>
  <si>
    <t>Kunta nro</t>
  </si>
  <si>
    <t>Kumulat yli/alij</t>
  </si>
  <si>
    <t>Muut rahoitustuotot/-menot, netto (sis Osinkotuotot)</t>
  </si>
  <si>
    <t>Saamisten muutos (ent Pitkäaikaisten saamisten muutokset, netto)</t>
  </si>
  <si>
    <t>Toim ja inv rahavirta</t>
  </si>
  <si>
    <t>josta lyhytaik</t>
  </si>
  <si>
    <t>Rahavarat e/as</t>
  </si>
  <si>
    <t>Tulorah (toiminnan rahavirta)</t>
  </si>
  <si>
    <t>Saamisten muutos</t>
  </si>
  <si>
    <t>Toiminnan rahavirta</t>
  </si>
  <si>
    <t>Rahavarat, euro/as</t>
  </si>
  <si>
    <t>Sijoitus vuosikatteen (euro/as) mukaan</t>
  </si>
  <si>
    <t>Verorahoitus</t>
  </si>
  <si>
    <t>Tilikauden yli-/alijäämä</t>
  </si>
  <si>
    <t>Kumulatiivinen yli-/alijäämä</t>
  </si>
  <si>
    <t>Konsernilainat, euro/as</t>
  </si>
  <si>
    <t>Kemiönsaari</t>
  </si>
  <si>
    <t>Mänttä-Vilppula</t>
  </si>
  <si>
    <t>Raasepori</t>
  </si>
  <si>
    <t>Sastamala</t>
  </si>
  <si>
    <t>Siikalatva</t>
  </si>
  <si>
    <t xml:space="preserve">Rahoitusvarallisuus = ((saamiset + rahoitusarvopaperit + rahat ja pankkisaamiset) - (vieras pääoma - saadut ennakot)) </t>
  </si>
  <si>
    <t>.</t>
  </si>
  <si>
    <t>Erillistiedot</t>
  </si>
  <si>
    <t>hakee muualta</t>
  </si>
  <si>
    <t>summana</t>
  </si>
  <si>
    <t>kaavasta</t>
  </si>
  <si>
    <t>vanha</t>
  </si>
  <si>
    <t>Kristiinankaupunki</t>
  </si>
  <si>
    <t>Toimintatuotot, sis. valmistus omaan käyt.</t>
  </si>
  <si>
    <t>Vöyri</t>
  </si>
  <si>
    <t>Palvelujen ostot 2011</t>
  </si>
  <si>
    <t>Harkvar2011</t>
  </si>
  <si>
    <t>tuotto</t>
  </si>
  <si>
    <t>Yhden vero%:n</t>
  </si>
  <si>
    <t>tuotto, €/as</t>
  </si>
  <si>
    <t>KOKO MAA (Manner-Suomi)</t>
  </si>
  <si>
    <t>Palvelujen ostot 2012</t>
  </si>
  <si>
    <t>Harkvar2012</t>
  </si>
  <si>
    <t>Parainen</t>
  </si>
  <si>
    <t>Satu. tuotot</t>
  </si>
  <si>
    <t>Satu. kulut</t>
  </si>
  <si>
    <t xml:space="preserve"> + Rahoitusos. investointimenoihin</t>
  </si>
  <si>
    <t xml:space="preserve"> + Investointihyödykk. luovutustulot</t>
  </si>
  <si>
    <t>Palvelujen ostot 2013</t>
  </si>
  <si>
    <t>Harkvar2013</t>
  </si>
  <si>
    <t>Marrask-14</t>
  </si>
  <si>
    <t xml:space="preserve">Asukasluku </t>
  </si>
  <si>
    <t>Kunnat vuoden 2013 kuntajaolla</t>
  </si>
  <si>
    <t>KUNTIEN TILINPÄÄTÖKSET 2011 - 2013</t>
  </si>
  <si>
    <t>Valtiovarainministeriö/Kunta- ja aluehallinto-osasto,4.6.2014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</si>
</sst>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#,##0.0"/>
    <numFmt numFmtId="168" formatCode="#,##0.000"/>
    <numFmt numFmtId="169" formatCode="_(* #,##0.00_);_(* \(#,##0.00\);_(* &quot;-&quot;??_);_(@_)"/>
    <numFmt numFmtId="170" formatCode="#,##0\ [$€-1]"/>
    <numFmt numFmtId="171" formatCode="\$#,##0\ ;\(\$#,##0\)"/>
    <numFmt numFmtId="172" formatCode="#,##0_ ;[Red]\-#,##0\ "/>
    <numFmt numFmtId="173" formatCode="[$€]#,##0.00_);[Red]\([$€]#,##0.00\)"/>
    <numFmt numFmtId="174" formatCode="#,##0.0_ ;[Red]\-#,##0.0\ "/>
    <numFmt numFmtId="175" formatCode="0.0_ ;[Red]\-0.0\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name val="Courier"/>
      <family val="3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4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2" applyNumberFormat="0" applyAlignment="0" applyProtection="0"/>
    <xf numFmtId="0" fontId="51" fillId="32" borderId="8" applyNumberFormat="0" applyAlignment="0" applyProtection="0"/>
    <xf numFmtId="0" fontId="11" fillId="0" borderId="9" applyNumberFormat="0" applyFont="0" applyFill="0" applyAlignment="0" applyProtection="0"/>
    <xf numFmtId="0" fontId="52" fillId="29" borderId="10" applyNumberFormat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6" xfId="0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16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0" fontId="2" fillId="0" borderId="13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1" fontId="4" fillId="0" borderId="0" xfId="53" applyNumberFormat="1" applyFont="1" applyAlignment="1" applyProtection="1">
      <alignment horizontal="right"/>
      <protection locked="0"/>
    </xf>
    <xf numFmtId="1" fontId="4" fillId="0" borderId="0" xfId="0" applyNumberFormat="1" applyFont="1" applyAlignment="1">
      <alignment/>
    </xf>
    <xf numFmtId="0" fontId="0" fillId="0" borderId="16" xfId="0" applyFont="1" applyBorder="1" applyAlignment="1">
      <alignment horizontal="right"/>
    </xf>
    <xf numFmtId="0" fontId="15" fillId="0" borderId="15" xfId="0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3" fillId="0" borderId="15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8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164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5" fillId="0" borderId="14" xfId="0" applyNumberFormat="1" applyFont="1" applyBorder="1" applyAlignment="1">
      <alignment/>
    </xf>
    <xf numFmtId="0" fontId="17" fillId="0" borderId="14" xfId="0" applyFont="1" applyBorder="1" applyAlignment="1">
      <alignment horizontal="right"/>
    </xf>
    <xf numFmtId="172" fontId="4" fillId="0" borderId="13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right"/>
    </xf>
    <xf numFmtId="172" fontId="5" fillId="0" borderId="13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172" fontId="6" fillId="0" borderId="14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172" fontId="4" fillId="0" borderId="15" xfId="0" applyNumberFormat="1" applyFont="1" applyBorder="1" applyAlignment="1">
      <alignment horizontal="right"/>
    </xf>
    <xf numFmtId="172" fontId="4" fillId="0" borderId="16" xfId="0" applyNumberFormat="1" applyFont="1" applyBorder="1" applyAlignment="1">
      <alignment/>
    </xf>
    <xf numFmtId="172" fontId="4" fillId="0" borderId="17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right"/>
    </xf>
    <xf numFmtId="174" fontId="4" fillId="0" borderId="13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4" fillId="0" borderId="14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14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6" fillId="0" borderId="13" xfId="0" applyFont="1" applyBorder="1" applyAlignment="1">
      <alignment/>
    </xf>
    <xf numFmtId="172" fontId="6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4" fillId="0" borderId="13" xfId="0" applyFont="1" applyBorder="1" applyAlignment="1" applyProtection="1">
      <alignment horizontal="left"/>
      <protection locked="0"/>
    </xf>
    <xf numFmtId="0" fontId="7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14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172" fontId="5" fillId="0" borderId="0" xfId="0" applyNumberFormat="1" applyFont="1" applyAlignment="1">
      <alignment/>
    </xf>
    <xf numFmtId="167" fontId="5" fillId="0" borderId="14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7" fontId="5" fillId="0" borderId="17" xfId="0" applyNumberFormat="1" applyFont="1" applyBorder="1" applyAlignment="1">
      <alignment/>
    </xf>
    <xf numFmtId="166" fontId="5" fillId="0" borderId="1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2" fontId="4" fillId="0" borderId="0" xfId="43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20" fillId="34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167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49" fontId="4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3" fontId="4" fillId="35" borderId="0" xfId="0" applyNumberFormat="1" applyFont="1" applyFill="1" applyAlignment="1" applyProtection="1">
      <alignment horizontal="right"/>
      <protection locked="0"/>
    </xf>
    <xf numFmtId="172" fontId="4" fillId="0" borderId="0" xfId="0" applyNumberFormat="1" applyFont="1" applyAlignment="1">
      <alignment/>
    </xf>
    <xf numFmtId="174" fontId="5" fillId="0" borderId="14" xfId="0" applyNumberFormat="1" applyFont="1" applyBorder="1" applyAlignment="1">
      <alignment horizontal="right"/>
    </xf>
    <xf numFmtId="175" fontId="5" fillId="0" borderId="14" xfId="0" applyNumberFormat="1" applyFont="1" applyBorder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 applyProtection="1">
      <alignment/>
      <protection locked="0"/>
    </xf>
    <xf numFmtId="0" fontId="5" fillId="33" borderId="16" xfId="0" applyFont="1" applyFill="1" applyBorder="1" applyAlignment="1">
      <alignment horizontal="right" vertical="center"/>
    </xf>
  </cellXfs>
  <cellStyles count="5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0" xfId="39"/>
    <cellStyle name="Currency0" xfId="40"/>
    <cellStyle name="Date" xfId="41"/>
    <cellStyle name="Comma" xfId="42"/>
    <cellStyle name="Euro" xfId="43"/>
    <cellStyle name="Fixed" xfId="44"/>
    <cellStyle name="Heading 1" xfId="45"/>
    <cellStyle name="Heading 2" xfId="46"/>
    <cellStyle name="Huomautus" xfId="47"/>
    <cellStyle name="Huono" xfId="48"/>
    <cellStyle name="Hyvä" xfId="49"/>
    <cellStyle name="Laskenta" xfId="50"/>
    <cellStyle name="Linkitetty solu" xfId="51"/>
    <cellStyle name="Neutraali" xfId="52"/>
    <cellStyle name="Normaali_Kuntakortti" xfId="53"/>
    <cellStyle name="Otsikko" xfId="54"/>
    <cellStyle name="Otsikko 1" xfId="55"/>
    <cellStyle name="Otsikko 2" xfId="56"/>
    <cellStyle name="Otsikko 3" xfId="57"/>
    <cellStyle name="Otsikko 4" xfId="58"/>
    <cellStyle name="Pilkku_1997" xfId="59"/>
    <cellStyle name="Percent" xfId="60"/>
    <cellStyle name="Comma [0]" xfId="61"/>
    <cellStyle name="Currency [0]" xfId="62"/>
    <cellStyle name="Selittävä teksti" xfId="63"/>
    <cellStyle name="Summa" xfId="64"/>
    <cellStyle name="Syöttö" xfId="65"/>
    <cellStyle name="Tarkistussolu" xfId="66"/>
    <cellStyle name="Total" xfId="67"/>
    <cellStyle name="Tulostus" xfId="68"/>
    <cellStyle name="Currency" xfId="69"/>
    <cellStyle name="Varoitusteksti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W90"/>
  <sheetViews>
    <sheetView tabSelected="1" zoomScalePageLayoutView="0" workbookViewId="0" topLeftCell="A1">
      <pane ySplit="4" topLeftCell="A41" activePane="bottomLeft" state="frozen"/>
      <selection pane="topLeft" activeCell="A1" sqref="A1"/>
      <selection pane="bottomLeft" activeCell="P72" sqref="P72"/>
    </sheetView>
  </sheetViews>
  <sheetFormatPr defaultColWidth="9.140625" defaultRowHeight="12.75"/>
  <cols>
    <col min="1" max="1" width="14.421875" style="0" customWidth="1"/>
    <col min="2" max="2" width="10.57421875" style="0" customWidth="1"/>
    <col min="3" max="3" width="7.140625" style="13" customWidth="1"/>
    <col min="4" max="4" width="9.57421875" style="0" bestFit="1" customWidth="1"/>
    <col min="5" max="5" width="8.57421875" style="0" customWidth="1"/>
    <col min="6" max="6" width="3.7109375" style="0" customWidth="1"/>
    <col min="7" max="7" width="10.8515625" style="0" customWidth="1"/>
    <col min="8" max="8" width="8.57421875" style="0" customWidth="1"/>
    <col min="9" max="9" width="7.7109375" style="0" customWidth="1"/>
    <col min="10" max="10" width="10.421875" style="0" bestFit="1" customWidth="1"/>
    <col min="11" max="11" width="8.00390625" style="0" customWidth="1"/>
    <col min="12" max="12" width="6.421875" style="0" customWidth="1"/>
    <col min="13" max="13" width="11.421875" style="0" customWidth="1"/>
    <col min="14" max="15" width="11.421875" style="167" customWidth="1"/>
    <col min="16" max="17" width="9.28125" style="0" bestFit="1" customWidth="1"/>
    <col min="19" max="20" width="9.28125" style="0" bestFit="1" customWidth="1"/>
    <col min="22" max="23" width="9.28125" style="0" bestFit="1" customWidth="1"/>
  </cols>
  <sheetData>
    <row r="1" spans="1:12" ht="12.75">
      <c r="A1" s="26" t="s">
        <v>417</v>
      </c>
      <c r="B1" s="32"/>
      <c r="C1" s="70"/>
      <c r="D1" s="32"/>
      <c r="E1" s="125"/>
      <c r="F1" s="32"/>
      <c r="G1" s="72"/>
      <c r="H1" s="72"/>
      <c r="I1" s="72"/>
      <c r="J1" s="72"/>
      <c r="K1" s="72"/>
      <c r="L1" s="73"/>
    </row>
    <row r="2" spans="1:13" ht="25.5" customHeight="1" thickBot="1">
      <c r="A2" s="71" t="s">
        <v>416</v>
      </c>
      <c r="B2" s="57"/>
      <c r="C2" s="68"/>
      <c r="D2" s="57"/>
      <c r="E2" s="57"/>
      <c r="F2" s="57"/>
      <c r="G2" s="197" t="s">
        <v>340</v>
      </c>
      <c r="H2" s="197"/>
      <c r="I2" s="74"/>
      <c r="J2" s="74"/>
      <c r="K2" s="74"/>
      <c r="L2" s="75"/>
      <c r="M2" s="86"/>
    </row>
    <row r="3" spans="1:15" s="3" customFormat="1" ht="11.25">
      <c r="A3" s="65"/>
      <c r="B3" s="17"/>
      <c r="C3" s="18"/>
      <c r="D3" s="34"/>
      <c r="E3" s="35"/>
      <c r="F3" s="38"/>
      <c r="G3" s="17"/>
      <c r="H3" s="17" t="s">
        <v>322</v>
      </c>
      <c r="I3" s="20"/>
      <c r="J3" s="34"/>
      <c r="K3" s="17"/>
      <c r="L3" s="20"/>
      <c r="M3" s="4"/>
      <c r="N3" s="168"/>
      <c r="O3" s="168"/>
    </row>
    <row r="4" spans="1:15" s="3" customFormat="1" ht="15.75">
      <c r="A4" s="27" t="str">
        <f>INDEX(Luvut!$B$3:Luvut!$B$307,$A$7)</f>
        <v>KOKO MAA (Manner-Suomi)</v>
      </c>
      <c r="B4" s="11"/>
      <c r="C4" s="14"/>
      <c r="D4" s="59">
        <v>2011</v>
      </c>
      <c r="E4" s="36"/>
      <c r="F4" s="39"/>
      <c r="G4" s="60">
        <v>2012</v>
      </c>
      <c r="H4" s="11"/>
      <c r="I4" s="22"/>
      <c r="J4" s="188">
        <v>2013</v>
      </c>
      <c r="K4" s="11"/>
      <c r="L4" s="22"/>
      <c r="M4" s="87"/>
      <c r="N4" s="169"/>
      <c r="O4" s="169"/>
    </row>
    <row r="5" spans="1:15" s="3" customFormat="1" ht="11.25">
      <c r="A5" s="21"/>
      <c r="B5" s="11"/>
      <c r="C5" s="14"/>
      <c r="D5" s="21"/>
      <c r="E5" s="36"/>
      <c r="F5" s="39"/>
      <c r="G5" s="11"/>
      <c r="H5" s="11"/>
      <c r="I5" s="22"/>
      <c r="J5" s="21"/>
      <c r="K5" s="11"/>
      <c r="L5" s="22"/>
      <c r="N5" s="168"/>
      <c r="O5" s="168"/>
    </row>
    <row r="6" spans="1:15" s="3" customFormat="1" ht="11.25">
      <c r="A6" s="21" t="s">
        <v>1</v>
      </c>
      <c r="B6" s="11"/>
      <c r="C6" s="11"/>
      <c r="D6" s="53">
        <f>VLOOKUP($A$4,Luvut!$B$3:$AT$307,2)</f>
        <v>5372913</v>
      </c>
      <c r="E6" s="11"/>
      <c r="F6" s="22"/>
      <c r="G6" s="12">
        <f>VLOOKUP($A$4,Luvut!$B$3:$ED$307,46)</f>
        <v>5398173</v>
      </c>
      <c r="H6" s="11" t="s">
        <v>322</v>
      </c>
      <c r="I6" s="91">
        <f>((G6/D6)-1)*100</f>
        <v>0.4701360323533965</v>
      </c>
      <c r="J6" s="53">
        <f>VLOOKUP($A$4,Luvut!$B$3:$ED$307,90)</f>
        <v>5422604</v>
      </c>
      <c r="K6" s="11" t="s">
        <v>322</v>
      </c>
      <c r="L6" s="194">
        <f>((J6/G6)-1)*100</f>
        <v>0.4525790485039982</v>
      </c>
      <c r="M6" s="88"/>
      <c r="N6" s="170"/>
      <c r="O6" s="170"/>
    </row>
    <row r="7" spans="1:15" s="3" customFormat="1" ht="12" thickBot="1">
      <c r="A7" s="69">
        <v>99</v>
      </c>
      <c r="B7" s="24"/>
      <c r="C7" s="29"/>
      <c r="D7" s="54" t="s">
        <v>322</v>
      </c>
      <c r="E7" s="37"/>
      <c r="F7" s="40"/>
      <c r="G7" s="24"/>
      <c r="H7" s="24"/>
      <c r="I7" s="136"/>
      <c r="J7" s="23"/>
      <c r="K7" s="24"/>
      <c r="L7" s="137"/>
      <c r="N7" s="168"/>
      <c r="O7" s="170"/>
    </row>
    <row r="8" spans="1:17" ht="15.75">
      <c r="A8" s="124" t="s">
        <v>319</v>
      </c>
      <c r="B8" s="17"/>
      <c r="C8" s="18"/>
      <c r="D8" s="58" t="s">
        <v>322</v>
      </c>
      <c r="E8" s="19"/>
      <c r="F8" s="41"/>
      <c r="G8" s="17"/>
      <c r="H8" s="17"/>
      <c r="I8" s="134"/>
      <c r="J8" s="34"/>
      <c r="K8" s="17"/>
      <c r="L8" s="135"/>
      <c r="O8" s="170"/>
      <c r="Q8" s="2"/>
    </row>
    <row r="9" spans="1:15" ht="12.75">
      <c r="A9" s="27"/>
      <c r="B9" s="11"/>
      <c r="C9" s="14"/>
      <c r="D9" s="53" t="s">
        <v>322</v>
      </c>
      <c r="E9" s="12" t="s">
        <v>322</v>
      </c>
      <c r="F9" s="42" t="s">
        <v>322</v>
      </c>
      <c r="G9" s="12" t="s">
        <v>322</v>
      </c>
      <c r="H9" s="11"/>
      <c r="I9" s="92" t="s">
        <v>357</v>
      </c>
      <c r="J9" s="53" t="s">
        <v>322</v>
      </c>
      <c r="K9" s="11"/>
      <c r="L9" s="92" t="s">
        <v>357</v>
      </c>
      <c r="O9" s="170"/>
    </row>
    <row r="10" spans="1:15" s="3" customFormat="1" ht="11.25">
      <c r="A10" s="21" t="s">
        <v>332</v>
      </c>
      <c r="B10" s="11"/>
      <c r="C10" s="11"/>
      <c r="D10" s="93">
        <f>E67</f>
        <v>2037.566772437968</v>
      </c>
      <c r="E10" s="94" t="s">
        <v>322</v>
      </c>
      <c r="F10" s="95"/>
      <c r="G10" s="94">
        <f>H67</f>
        <v>2262.3296808012637</v>
      </c>
      <c r="H10" s="100"/>
      <c r="I10" s="193">
        <f>((G10/D10)-1)*100</f>
        <v>11.030946882509518</v>
      </c>
      <c r="J10" s="93">
        <f>K67</f>
        <v>2542.4762715477655</v>
      </c>
      <c r="K10" s="11"/>
      <c r="L10" s="194">
        <f>((J10/G10)-1)*100</f>
        <v>12.38310194680734</v>
      </c>
      <c r="N10" s="168"/>
      <c r="O10" s="170"/>
    </row>
    <row r="11" spans="1:15" s="3" customFormat="1" ht="11.25">
      <c r="A11" s="21" t="s">
        <v>382</v>
      </c>
      <c r="B11" s="11"/>
      <c r="C11" s="11"/>
      <c r="D11" s="93">
        <f>VLOOKUP($A$4,Luvut!$B$3:$FM$307,167)</f>
        <v>4726</v>
      </c>
      <c r="E11" s="94"/>
      <c r="F11" s="95"/>
      <c r="G11" s="94">
        <f>VLOOKUP($A$4,Luvut!$B$3:$FM$307,168)</f>
        <v>5030</v>
      </c>
      <c r="H11" s="94"/>
      <c r="I11" s="193">
        <f>((G11/D11)-1)*100</f>
        <v>6.432501057977147</v>
      </c>
      <c r="J11" s="94">
        <f>VLOOKUP($A$4,Luvut!$B$3:$FN$307,169)</f>
        <v>0</v>
      </c>
      <c r="K11" s="187" t="s">
        <v>413</v>
      </c>
      <c r="L11" s="194"/>
      <c r="N11" s="168"/>
      <c r="O11" s="170"/>
    </row>
    <row r="12" spans="1:15" s="3" customFormat="1" ht="11.25">
      <c r="A12" s="21" t="s">
        <v>316</v>
      </c>
      <c r="B12" s="11"/>
      <c r="C12" s="11"/>
      <c r="D12" s="106">
        <f>VLOOKUP($A$4,Luvut!$B$3:$AT$307,4)</f>
        <v>1.4700660406168882</v>
      </c>
      <c r="E12" s="107" t="s">
        <v>322</v>
      </c>
      <c r="F12" s="108"/>
      <c r="G12" s="107">
        <f>VLOOKUP($A$4,Luvut!$B$3:$ED$307,48)</f>
        <v>0.9931606097490292</v>
      </c>
      <c r="H12" s="109"/>
      <c r="I12" s="110"/>
      <c r="J12" s="106">
        <f>VLOOKUP($A$4,Luvut!$B$3:$ED$307,92)</f>
        <v>1.319371239384578</v>
      </c>
      <c r="K12" s="11"/>
      <c r="L12" s="22"/>
      <c r="N12" s="168"/>
      <c r="O12" s="170"/>
    </row>
    <row r="13" spans="1:15" s="3" customFormat="1" ht="11.25">
      <c r="A13" s="21" t="s">
        <v>326</v>
      </c>
      <c r="B13" s="11"/>
      <c r="C13" s="11"/>
      <c r="D13" s="106">
        <f>VLOOKUP($A$4,Luvut!$B$3:$AT$307,5)</f>
        <v>45.3</v>
      </c>
      <c r="E13" s="107" t="s">
        <v>322</v>
      </c>
      <c r="F13" s="108"/>
      <c r="G13" s="107">
        <f>VLOOKUP($A$4,Luvut!$B$3:$ED$307,49)</f>
        <v>48.3</v>
      </c>
      <c r="H13" s="109"/>
      <c r="I13" s="110"/>
      <c r="J13" s="106">
        <f>VLOOKUP($A$4,Luvut!$B$3:$ED$307,93)</f>
        <v>50.71641385512129</v>
      </c>
      <c r="K13" s="11"/>
      <c r="L13" s="22"/>
      <c r="N13" s="168"/>
      <c r="O13" s="170"/>
    </row>
    <row r="14" spans="1:15" s="3" customFormat="1" ht="11.25">
      <c r="A14" s="21" t="s">
        <v>333</v>
      </c>
      <c r="B14" s="11"/>
      <c r="C14" s="11"/>
      <c r="D14" s="93">
        <f>VLOOKUP($A$4,Luvut!$B$3:$AT$307,6)</f>
        <v>-1797</v>
      </c>
      <c r="E14" s="94" t="s">
        <v>322</v>
      </c>
      <c r="F14" s="95"/>
      <c r="G14" s="94">
        <f>VLOOKUP($A$4,Luvut!$B$3:$ED$307,50)</f>
        <v>-2127</v>
      </c>
      <c r="H14" s="100"/>
      <c r="I14" s="101"/>
      <c r="J14" s="93">
        <f>VLOOKUP($A$4,Luvut!$B$3:$ED$307,94)</f>
        <v>-2246.5641968323707</v>
      </c>
      <c r="K14" s="11"/>
      <c r="L14" s="22"/>
      <c r="N14" s="168"/>
      <c r="O14" s="170"/>
    </row>
    <row r="15" spans="1:15" s="3" customFormat="1" ht="11.25">
      <c r="A15" s="21" t="s">
        <v>342</v>
      </c>
      <c r="B15" s="11"/>
      <c r="C15" s="11"/>
      <c r="D15" s="106">
        <f>VLOOKUP($A$4,Luvut!$B$3:$AT$307,10)</f>
        <v>64.2</v>
      </c>
      <c r="E15" s="107"/>
      <c r="F15" s="108"/>
      <c r="G15" s="107">
        <f>VLOOKUP($A$4,Luvut!$B$3:$ED$307,54)</f>
        <v>62.1</v>
      </c>
      <c r="H15" s="109"/>
      <c r="I15" s="110"/>
      <c r="J15" s="106">
        <f>VLOOKUP($A$4,Luvut!$B$3:$ED$307,98)</f>
        <v>60.441079740347405</v>
      </c>
      <c r="K15" s="11"/>
      <c r="L15" s="22"/>
      <c r="N15" s="168"/>
      <c r="O15" s="170"/>
    </row>
    <row r="16" spans="1:15" s="3" customFormat="1" ht="11.25">
      <c r="A16" s="21"/>
      <c r="B16" s="11"/>
      <c r="C16" s="11"/>
      <c r="D16" s="93" t="s">
        <v>322</v>
      </c>
      <c r="E16" s="94" t="s">
        <v>322</v>
      </c>
      <c r="F16" s="95"/>
      <c r="G16" s="94" t="s">
        <v>322</v>
      </c>
      <c r="H16" s="100"/>
      <c r="I16" s="101"/>
      <c r="J16" s="93"/>
      <c r="K16" s="11"/>
      <c r="L16" s="22"/>
      <c r="N16" s="168"/>
      <c r="O16" s="170"/>
    </row>
    <row r="17" spans="1:15" s="3" customFormat="1" ht="11.25">
      <c r="A17" s="21" t="s">
        <v>377</v>
      </c>
      <c r="B17" s="11"/>
      <c r="C17" s="14"/>
      <c r="D17" s="93">
        <f>VLOOKUP($A$4,Luvut!$B$3:$AT$307,11)</f>
        <v>698</v>
      </c>
      <c r="E17" s="100"/>
      <c r="F17" s="101"/>
      <c r="G17" s="94">
        <f>VLOOKUP($A$4,Luvut!$B$3:$ED$307,55)</f>
        <v>619</v>
      </c>
      <c r="H17" s="100" t="s">
        <v>322</v>
      </c>
      <c r="I17" s="101"/>
      <c r="J17" s="93">
        <f>VLOOKUP($A$4,Luvut!$B$3:$ED$307,99)</f>
        <v>797.3285528502543</v>
      </c>
      <c r="K17" s="31" t="s">
        <v>322</v>
      </c>
      <c r="L17" s="22"/>
      <c r="M17" s="67"/>
      <c r="N17" s="168"/>
      <c r="O17" s="170"/>
    </row>
    <row r="18" spans="1:15" s="3" customFormat="1" ht="11.25">
      <c r="A18" s="21" t="s">
        <v>315</v>
      </c>
      <c r="B18" s="11"/>
      <c r="C18" s="14"/>
      <c r="D18" s="93">
        <f>VLOOKUP($A$4,Luvut!$B$3:$AT$307,12)</f>
        <v>36</v>
      </c>
      <c r="E18" s="100"/>
      <c r="F18" s="101"/>
      <c r="G18" s="94">
        <f>VLOOKUP($A$4,Luvut!$B$3:$ED$307,56)</f>
        <v>30</v>
      </c>
      <c r="H18" s="100"/>
      <c r="I18" s="101"/>
      <c r="J18" s="93">
        <f>VLOOKUP($A$4,Luvut!$B$3:$ED$307,100)</f>
        <v>37.699798939235095</v>
      </c>
      <c r="K18" s="11"/>
      <c r="L18" s="22"/>
      <c r="N18" s="168"/>
      <c r="O18" s="170"/>
    </row>
    <row r="19" spans="1:15" s="3" customFormat="1" ht="12" thickBot="1">
      <c r="A19" s="23" t="s">
        <v>334</v>
      </c>
      <c r="B19" s="24"/>
      <c r="C19" s="29"/>
      <c r="D19" s="102">
        <f>VLOOKUP($A$4,Luvut!$B$3:$AT$307,13)</f>
        <v>7153.649426298174</v>
      </c>
      <c r="E19" s="103"/>
      <c r="F19" s="104"/>
      <c r="G19" s="105">
        <f>VLOOKUP($A$4,Luvut!$B$3:$ED$307,57)</f>
        <v>7481.313770418251</v>
      </c>
      <c r="H19" s="103"/>
      <c r="I19" s="104"/>
      <c r="J19" s="102">
        <f>VLOOKUP($A$4,Luvut!$B$3:$ED$307,101)</f>
        <v>7719.53511633894</v>
      </c>
      <c r="K19" s="24"/>
      <c r="L19" s="25" t="s">
        <v>322</v>
      </c>
      <c r="N19" s="171" t="s">
        <v>322</v>
      </c>
      <c r="O19" s="171" t="s">
        <v>322</v>
      </c>
    </row>
    <row r="20" spans="1:15" ht="15.75">
      <c r="A20" s="59" t="s">
        <v>309</v>
      </c>
      <c r="B20" s="11"/>
      <c r="C20" s="43"/>
      <c r="D20" s="63">
        <v>1000</v>
      </c>
      <c r="E20" s="44" t="s">
        <v>335</v>
      </c>
      <c r="F20" s="45"/>
      <c r="G20" s="64">
        <v>1000</v>
      </c>
      <c r="H20" s="44" t="s">
        <v>335</v>
      </c>
      <c r="I20" s="92" t="s">
        <v>357</v>
      </c>
      <c r="J20" s="63">
        <v>1000</v>
      </c>
      <c r="K20" s="44" t="s">
        <v>335</v>
      </c>
      <c r="L20" s="92" t="s">
        <v>357</v>
      </c>
      <c r="M20" s="61"/>
      <c r="N20" s="171" t="s">
        <v>322</v>
      </c>
      <c r="O20" s="171" t="s">
        <v>322</v>
      </c>
    </row>
    <row r="21" spans="1:15" ht="12.75">
      <c r="A21" s="27"/>
      <c r="B21" s="11"/>
      <c r="C21" s="43"/>
      <c r="D21" s="63"/>
      <c r="E21" s="44"/>
      <c r="F21" s="45"/>
      <c r="G21" s="64"/>
      <c r="H21" s="44"/>
      <c r="I21" s="51"/>
      <c r="J21" s="63"/>
      <c r="K21" s="44"/>
      <c r="L21" s="51"/>
      <c r="M21" s="61"/>
      <c r="O21" s="171"/>
    </row>
    <row r="22" spans="1:15" s="4" customFormat="1" ht="11.25">
      <c r="A22" s="46" t="s">
        <v>345</v>
      </c>
      <c r="B22" s="11"/>
      <c r="C22" s="43"/>
      <c r="D22" s="93">
        <f>VLOOKUP($A$4,Luvut!$B$3:$AX$307,14)</f>
        <v>14124608</v>
      </c>
      <c r="E22" s="94">
        <f>D22*1000/$D$6</f>
        <v>2628.854775798529</v>
      </c>
      <c r="F22" s="99"/>
      <c r="G22" s="94">
        <f>VLOOKUP($A$4,Luvut!$B$3:$ED$307,58)</f>
        <v>14659938</v>
      </c>
      <c r="H22" s="94">
        <f>G22*1000/$G$6</f>
        <v>2715.7221526616504</v>
      </c>
      <c r="I22" s="91">
        <f>((G22/D22)-1)*100</f>
        <v>3.790052084985307</v>
      </c>
      <c r="J22" s="93">
        <f>VLOOKUP($A$4,Luvut!$B$3:$ED$307,102)</f>
        <v>14877516</v>
      </c>
      <c r="K22" s="94">
        <f>J22*1000/$J$6</f>
        <v>2743.611003126911</v>
      </c>
      <c r="L22" s="91">
        <f>((J22/G22)-1)*100</f>
        <v>1.4841672590975463</v>
      </c>
      <c r="M22" s="61"/>
      <c r="N22" s="171" t="s">
        <v>322</v>
      </c>
      <c r="O22" s="171" t="s">
        <v>322</v>
      </c>
    </row>
    <row r="23" spans="1:15" s="4" customFormat="1" ht="11.25">
      <c r="A23" s="46" t="s">
        <v>344</v>
      </c>
      <c r="B23" s="11"/>
      <c r="C23" s="43"/>
      <c r="D23" s="93">
        <f>VLOOKUP($A$4,Luvut!$B$3:$EF$307,134)</f>
        <v>14176879</v>
      </c>
      <c r="E23" s="94">
        <f>D23*1000/$D$6</f>
        <v>2638.5833904252686</v>
      </c>
      <c r="F23" s="99"/>
      <c r="G23" s="94">
        <f>VLOOKUP($A$4,Luvut!$B$3:$EF$307,135)</f>
        <v>15158416</v>
      </c>
      <c r="H23" s="94">
        <f>G23*1000/$G$6</f>
        <v>2808.064135773344</v>
      </c>
      <c r="I23" s="91">
        <f>((G23/D23)-1)*100</f>
        <v>6.923505519092044</v>
      </c>
      <c r="J23" s="93">
        <f>VLOOKUP($A$4,Luvut!$B$3:$EG$307,136)</f>
        <v>15631272</v>
      </c>
      <c r="K23" s="94">
        <f>J23*1000/$J$6</f>
        <v>2882.6135930265236</v>
      </c>
      <c r="L23" s="91">
        <f>((J23/G23)-1)*100</f>
        <v>3.1194288374194246</v>
      </c>
      <c r="M23" s="61"/>
      <c r="N23" s="171" t="s">
        <v>322</v>
      </c>
      <c r="O23" s="171" t="s">
        <v>322</v>
      </c>
    </row>
    <row r="24" spans="1:15" s="4" customFormat="1" ht="11.25">
      <c r="A24" s="21" t="s">
        <v>396</v>
      </c>
      <c r="B24" s="11"/>
      <c r="C24" s="43"/>
      <c r="D24" s="93">
        <f>VLOOKUP($A$4,Luvut!$B$3:$AT$307,15)</f>
        <v>8732777</v>
      </c>
      <c r="E24" s="94">
        <f>D24*1000/$D$6</f>
        <v>1625.3337807628748</v>
      </c>
      <c r="F24" s="95"/>
      <c r="G24" s="94">
        <f>VLOOKUP($A$4,Luvut!$B$3:$ED$307,59)</f>
        <v>9054626</v>
      </c>
      <c r="H24" s="94">
        <f>G24*1000/$G$6</f>
        <v>1677.3500960417534</v>
      </c>
      <c r="I24" s="91">
        <f>((G24/D24)-1)*100</f>
        <v>3.6855286697461853</v>
      </c>
      <c r="J24" s="93">
        <f>VLOOKUP($A$4,Luvut!$B$3:$ED$307,103)</f>
        <v>9099866</v>
      </c>
      <c r="K24" s="94">
        <f>J24*1000/$J$6</f>
        <v>1678.1358181419848</v>
      </c>
      <c r="L24" s="91">
        <f>((J24/G24)-1)*100</f>
        <v>0.49963410968050237</v>
      </c>
      <c r="M24" s="89"/>
      <c r="N24" s="171" t="s">
        <v>322</v>
      </c>
      <c r="O24" s="171" t="s">
        <v>322</v>
      </c>
    </row>
    <row r="25" spans="1:15" s="3" customFormat="1" ht="11.25">
      <c r="A25" s="21" t="s">
        <v>298</v>
      </c>
      <c r="B25" s="11"/>
      <c r="C25" s="43"/>
      <c r="D25" s="93">
        <f>VLOOKUP($A$4,Luvut!$B$3:$AT$307,16)</f>
        <v>33460309</v>
      </c>
      <c r="E25" s="94">
        <f aca="true" t="shared" si="0" ref="E25:E70">D25*1000/$D$6</f>
        <v>6227.591810997125</v>
      </c>
      <c r="F25" s="95"/>
      <c r="G25" s="94">
        <f>VLOOKUP($A$4,Luvut!$B$3:$ED$307,60)</f>
        <v>35281963</v>
      </c>
      <c r="H25" s="94">
        <f aca="true" t="shared" si="1" ref="H25:H47">G25*1000/$G$6</f>
        <v>6535.908167448505</v>
      </c>
      <c r="I25" s="91">
        <f>((G25/D25)-1)*100</f>
        <v>5.444223482813615</v>
      </c>
      <c r="J25" s="93">
        <f>VLOOKUP($A$4,Luvut!$B$3:$ED$307,104)</f>
        <v>36154397</v>
      </c>
      <c r="K25" s="94">
        <f>J25*1000/$J$6</f>
        <v>6667.349671855071</v>
      </c>
      <c r="L25" s="91">
        <f>((J25/G25)-1)*100</f>
        <v>2.4727479023771926</v>
      </c>
      <c r="M25" s="89"/>
      <c r="N25" s="171" t="s">
        <v>322</v>
      </c>
      <c r="O25" s="171" t="s">
        <v>322</v>
      </c>
    </row>
    <row r="26" spans="1:23" s="3" customFormat="1" ht="11.25">
      <c r="A26" s="46" t="s">
        <v>299</v>
      </c>
      <c r="B26" s="36"/>
      <c r="C26" s="118"/>
      <c r="D26" s="96">
        <f>VLOOKUP($A$4,Luvut!$B$3:$AT$307,17)</f>
        <v>-24727533</v>
      </c>
      <c r="E26" s="97">
        <f t="shared" si="0"/>
        <v>-4602.258216353029</v>
      </c>
      <c r="F26" s="98"/>
      <c r="G26" s="97">
        <f>VLOOKUP($A$4,Luvut!$B$3:$ED$307,61)</f>
        <v>-26227336</v>
      </c>
      <c r="H26" s="97">
        <f t="shared" si="1"/>
        <v>-4858.557886158891</v>
      </c>
      <c r="I26" s="91">
        <f>((G26/D26)-1)*100</f>
        <v>6.065315937501725</v>
      </c>
      <c r="J26" s="96">
        <f>VLOOKUP($A$4,Luvut!$B$3:$ED$307,105)</f>
        <v>-27054531</v>
      </c>
      <c r="K26" s="97">
        <f>J26*1000/$J$6</f>
        <v>-4989.213853713087</v>
      </c>
      <c r="L26" s="91">
        <f>((J26/G26)-1)*100</f>
        <v>3.153942131217602</v>
      </c>
      <c r="M26" s="90"/>
      <c r="N26" s="171" t="s">
        <v>322</v>
      </c>
      <c r="O26" s="171" t="s">
        <v>322</v>
      </c>
      <c r="P26" s="30"/>
      <c r="Q26" s="30"/>
      <c r="R26" s="30"/>
      <c r="S26" s="30"/>
      <c r="T26" s="30"/>
      <c r="U26" s="30"/>
      <c r="V26" s="30"/>
      <c r="W26" s="30"/>
    </row>
    <row r="27" spans="1:23" s="3" customFormat="1" ht="11.25">
      <c r="A27" s="46"/>
      <c r="B27" s="36"/>
      <c r="C27" s="118"/>
      <c r="D27" s="93" t="s">
        <v>322</v>
      </c>
      <c r="E27" s="94" t="s">
        <v>322</v>
      </c>
      <c r="F27" s="98"/>
      <c r="G27" s="94" t="s">
        <v>322</v>
      </c>
      <c r="H27" s="94" t="s">
        <v>322</v>
      </c>
      <c r="I27" s="91"/>
      <c r="J27" s="93" t="s">
        <v>322</v>
      </c>
      <c r="K27" s="94" t="s">
        <v>322</v>
      </c>
      <c r="L27" s="91"/>
      <c r="M27" s="89"/>
      <c r="N27" s="171"/>
      <c r="O27" s="171"/>
      <c r="P27" s="30"/>
      <c r="Q27" s="30"/>
      <c r="R27" s="30"/>
      <c r="S27" s="83"/>
      <c r="T27" s="61"/>
      <c r="U27" s="61"/>
      <c r="V27" s="83"/>
      <c r="W27" s="30"/>
    </row>
    <row r="28" spans="1:23" s="4" customFormat="1" ht="11.25">
      <c r="A28" s="21" t="s">
        <v>300</v>
      </c>
      <c r="B28" s="11"/>
      <c r="C28" s="43"/>
      <c r="D28" s="93">
        <f>VLOOKUP($A$4,Luvut!$B$3:$AT$307,18)</f>
        <v>18973738</v>
      </c>
      <c r="E28" s="94">
        <f t="shared" si="0"/>
        <v>3531.368924082709</v>
      </c>
      <c r="F28" s="95"/>
      <c r="G28" s="94">
        <f>VLOOKUP($A$4,Luvut!$B$3:$ED$307,62)</f>
        <v>19227970</v>
      </c>
      <c r="H28" s="94">
        <f t="shared" si="1"/>
        <v>3561.9403083228344</v>
      </c>
      <c r="I28" s="91">
        <f>((G28/D28)-1)*100</f>
        <v>1.3399152027923966</v>
      </c>
      <c r="J28" s="93">
        <f>VLOOKUP($A$4,Luvut!$B$3:$ED$307,106)</f>
        <v>20550650</v>
      </c>
      <c r="K28" s="94">
        <f>J28*1000/$J$6</f>
        <v>3789.8120533972237</v>
      </c>
      <c r="L28" s="91">
        <f>((J28/G28)-1)*100</f>
        <v>6.878937298113108</v>
      </c>
      <c r="M28" s="89"/>
      <c r="N28" s="171" t="s">
        <v>322</v>
      </c>
      <c r="O28" s="171" t="s">
        <v>322</v>
      </c>
      <c r="P28" s="61"/>
      <c r="Q28" s="61"/>
      <c r="R28" s="61"/>
      <c r="S28" s="61"/>
      <c r="T28" s="61"/>
      <c r="U28" s="61"/>
      <c r="V28" s="61"/>
      <c r="W28" s="61"/>
    </row>
    <row r="29" spans="1:23" s="4" customFormat="1" ht="11.25">
      <c r="A29" s="21" t="s">
        <v>350</v>
      </c>
      <c r="B29" s="11"/>
      <c r="C29" s="43"/>
      <c r="D29" s="93">
        <f>VLOOKUP($A$4,Luvut!$B$3:$AT$307,19)</f>
        <v>7621841</v>
      </c>
      <c r="E29" s="94">
        <f t="shared" si="0"/>
        <v>1418.5677303913167</v>
      </c>
      <c r="F29" s="95"/>
      <c r="G29" s="94">
        <f>VLOOKUP($A$4,Luvut!$B$3:$ED$307,63)</f>
        <v>8031581</v>
      </c>
      <c r="H29" s="94">
        <f t="shared" si="1"/>
        <v>1487.8331983802668</v>
      </c>
      <c r="I29" s="91">
        <f>((G29/D29)-1)*100</f>
        <v>5.3758665393308425</v>
      </c>
      <c r="J29" s="93">
        <f>VLOOKUP($A$4,Luvut!$B$3:$ED$307,107)</f>
        <v>8252562</v>
      </c>
      <c r="K29" s="94">
        <f>J29*1000/$J$6</f>
        <v>1521.8817379989393</v>
      </c>
      <c r="L29" s="91">
        <f>((J29/G29)-1)*100</f>
        <v>2.751401000624898</v>
      </c>
      <c r="M29" s="89"/>
      <c r="N29" s="171" t="s">
        <v>322</v>
      </c>
      <c r="O29" s="171" t="s">
        <v>322</v>
      </c>
      <c r="P29" s="61"/>
      <c r="Q29" s="61"/>
      <c r="R29" s="61"/>
      <c r="S29" s="61"/>
      <c r="T29" s="61"/>
      <c r="U29" s="61"/>
      <c r="V29" s="61"/>
      <c r="W29" s="61"/>
    </row>
    <row r="30" spans="1:23" s="4" customFormat="1" ht="11.25">
      <c r="A30" s="115" t="s">
        <v>351</v>
      </c>
      <c r="B30" s="49"/>
      <c r="C30" s="119"/>
      <c r="D30" s="116">
        <f>VLOOKUP($A$4,Luvut!$B$3:$EI$307,137)</f>
        <v>20000</v>
      </c>
      <c r="E30" s="117">
        <f t="shared" si="0"/>
        <v>3.7223755530752127</v>
      </c>
      <c r="F30" s="99"/>
      <c r="G30" s="117">
        <f>VLOOKUP($A$4,Luvut!$B$3:$EI$307,138)</f>
        <v>20000</v>
      </c>
      <c r="H30" s="117">
        <f t="shared" si="1"/>
        <v>3.704957214227851</v>
      </c>
      <c r="I30" s="91"/>
      <c r="J30" s="116">
        <f>VLOOKUP($A$4,Luvut!$B$3:$FM$307,139)</f>
        <v>20000</v>
      </c>
      <c r="K30" s="117">
        <f>J30*1000/$J$6</f>
        <v>3.6882649000369563</v>
      </c>
      <c r="L30" s="91"/>
      <c r="M30" s="89"/>
      <c r="N30" s="171"/>
      <c r="O30" s="171"/>
      <c r="P30" s="61"/>
      <c r="Q30" s="61"/>
      <c r="R30" s="177"/>
      <c r="S30" s="61"/>
      <c r="T30" s="61"/>
      <c r="U30" s="61"/>
      <c r="V30" s="61"/>
      <c r="W30" s="61"/>
    </row>
    <row r="31" spans="1:23" s="4" customFormat="1" ht="11.25">
      <c r="A31" s="46" t="s">
        <v>379</v>
      </c>
      <c r="B31" s="11"/>
      <c r="C31" s="43"/>
      <c r="D31" s="93">
        <f>SUM(D28:D29)</f>
        <v>26595579</v>
      </c>
      <c r="E31" s="94">
        <f t="shared" si="0"/>
        <v>4949.936654474025</v>
      </c>
      <c r="F31" s="95"/>
      <c r="G31" s="94">
        <f>SUM(G28:G29)</f>
        <v>27259551</v>
      </c>
      <c r="H31" s="94">
        <f t="shared" si="1"/>
        <v>5049.773506703101</v>
      </c>
      <c r="I31" s="91">
        <f>((G31/D31)-1)*100</f>
        <v>2.496550272509568</v>
      </c>
      <c r="J31" s="93">
        <f>SUM(J28:J29)</f>
        <v>28803212</v>
      </c>
      <c r="K31" s="94">
        <f>J31*1000/$J$6</f>
        <v>5311.693791396163</v>
      </c>
      <c r="L31" s="91">
        <f>((J31/G31)-1)*100</f>
        <v>5.662826214562378</v>
      </c>
      <c r="M31" s="90"/>
      <c r="N31" s="171" t="s">
        <v>322</v>
      </c>
      <c r="O31" s="171" t="s">
        <v>322</v>
      </c>
      <c r="P31" s="61"/>
      <c r="Q31" s="61"/>
      <c r="R31" s="61"/>
      <c r="S31" s="61"/>
      <c r="T31" s="61"/>
      <c r="U31" s="61"/>
      <c r="V31" s="61"/>
      <c r="W31" s="61"/>
    </row>
    <row r="32" spans="1:23" s="3" customFormat="1" ht="11.25">
      <c r="A32" s="46" t="s">
        <v>302</v>
      </c>
      <c r="B32" s="36"/>
      <c r="C32" s="118"/>
      <c r="D32" s="96">
        <f>D31+D26</f>
        <v>1868046</v>
      </c>
      <c r="E32" s="97">
        <f t="shared" si="0"/>
        <v>347.67843812099693</v>
      </c>
      <c r="F32" s="98"/>
      <c r="G32" s="97">
        <f>G26+G31</f>
        <v>1032215</v>
      </c>
      <c r="H32" s="97">
        <f t="shared" si="1"/>
        <v>191.21562054421005</v>
      </c>
      <c r="I32" s="91"/>
      <c r="J32" s="96">
        <f>J26+J31</f>
        <v>1748681</v>
      </c>
      <c r="K32" s="97">
        <f>J32*1000/$J$6</f>
        <v>322.47993768307623</v>
      </c>
      <c r="L32" s="91"/>
      <c r="M32" s="89"/>
      <c r="N32" s="171"/>
      <c r="O32" s="171"/>
      <c r="P32" s="30"/>
      <c r="Q32" s="30"/>
      <c r="R32" s="30"/>
      <c r="S32" s="30"/>
      <c r="T32" s="30"/>
      <c r="U32" s="30"/>
      <c r="V32" s="30"/>
      <c r="W32" s="30"/>
    </row>
    <row r="33" spans="1:22" s="4" customFormat="1" ht="11.25">
      <c r="A33" s="46"/>
      <c r="B33" s="36"/>
      <c r="C33" s="118"/>
      <c r="D33" s="53"/>
      <c r="E33" s="12" t="s">
        <v>322</v>
      </c>
      <c r="F33" s="47"/>
      <c r="G33" s="12"/>
      <c r="H33" s="12" t="s">
        <v>322</v>
      </c>
      <c r="I33" s="91"/>
      <c r="J33" s="53"/>
      <c r="K33" s="12" t="s">
        <v>322</v>
      </c>
      <c r="L33" s="91"/>
      <c r="M33" s="85"/>
      <c r="N33" s="171"/>
      <c r="O33" s="171"/>
      <c r="S33" s="84"/>
      <c r="V33" s="84"/>
    </row>
    <row r="34" spans="1:15" s="4" customFormat="1" ht="11.25">
      <c r="A34" s="21" t="s">
        <v>314</v>
      </c>
      <c r="B34" s="11"/>
      <c r="C34" s="43"/>
      <c r="D34" s="93">
        <f>VLOOKUP($A$4,Luvut!$B$3:$AT$307,22)</f>
        <v>-5251</v>
      </c>
      <c r="E34" s="94">
        <f t="shared" si="0"/>
        <v>-0.977309701459897</v>
      </c>
      <c r="F34" s="95" t="s">
        <v>322</v>
      </c>
      <c r="G34" s="94">
        <f>VLOOKUP($A$4,Luvut!$B$3:$ED$307,66)</f>
        <v>-15466</v>
      </c>
      <c r="H34" s="94">
        <f t="shared" si="1"/>
        <v>-2.8650434137623972</v>
      </c>
      <c r="I34" s="91"/>
      <c r="J34" s="93">
        <f>VLOOKUP($A$4,Luvut!$B$3:$ED$307,110)</f>
        <v>4687</v>
      </c>
      <c r="K34" s="94">
        <f>J34*1000/$J$6</f>
        <v>0.8643448793236608</v>
      </c>
      <c r="L34" s="91"/>
      <c r="M34" s="61"/>
      <c r="N34" s="171"/>
      <c r="O34" s="171"/>
    </row>
    <row r="35" spans="1:18" s="3" customFormat="1" ht="11.25">
      <c r="A35" s="21" t="s">
        <v>313</v>
      </c>
      <c r="B35" s="11"/>
      <c r="C35" s="43"/>
      <c r="D35" s="93">
        <f>VLOOKUP($A$4,Luvut!$B$3:$AT$307,23)</f>
        <v>191677</v>
      </c>
      <c r="E35" s="94">
        <f t="shared" si="0"/>
        <v>35.67468894433988</v>
      </c>
      <c r="F35" s="95" t="s">
        <v>322</v>
      </c>
      <c r="G35" s="94">
        <f>VLOOKUP($A$4,Luvut!$B$3:$ED$307,67)</f>
        <v>323209</v>
      </c>
      <c r="H35" s="94">
        <f t="shared" si="1"/>
        <v>59.87377581266847</v>
      </c>
      <c r="I35" s="91"/>
      <c r="J35" s="93">
        <f>VLOOKUP($A$4,Luvut!$B$3:$ED$307,111)</f>
        <v>309368</v>
      </c>
      <c r="K35" s="94">
        <f>J35*1000/$J$6</f>
        <v>57.051556779731655</v>
      </c>
      <c r="L35" s="91"/>
      <c r="M35" s="61"/>
      <c r="N35" s="171"/>
      <c r="O35" s="171"/>
      <c r="R35" s="192"/>
    </row>
    <row r="36" spans="1:15" s="3" customFormat="1" ht="11.25">
      <c r="A36" s="46" t="s">
        <v>303</v>
      </c>
      <c r="B36" s="36"/>
      <c r="C36" s="118"/>
      <c r="D36" s="96">
        <f>VLOOKUP($A$4,Luvut!$B$3:$AT$307,24)</f>
        <v>2054472</v>
      </c>
      <c r="E36" s="97">
        <f t="shared" si="0"/>
        <v>382.37581736387693</v>
      </c>
      <c r="F36" s="98"/>
      <c r="G36" s="97">
        <f>VLOOKUP($A$4,Luvut!$B$3:$ED$307,68)</f>
        <v>1340637</v>
      </c>
      <c r="H36" s="97">
        <f t="shared" si="1"/>
        <v>248.35013624053917</v>
      </c>
      <c r="I36" s="91"/>
      <c r="J36" s="96">
        <f>VLOOKUP($A$4,Luvut!$B$3:$ED$307,112)</f>
        <v>2062736</v>
      </c>
      <c r="K36" s="97">
        <f>J36*1000/$J$6</f>
        <v>380.3958393421316</v>
      </c>
      <c r="L36" s="91"/>
      <c r="M36" s="30"/>
      <c r="N36" s="171"/>
      <c r="O36" s="171"/>
    </row>
    <row r="37" spans="1:15" s="4" customFormat="1" ht="11.25">
      <c r="A37" s="46"/>
      <c r="B37" s="36"/>
      <c r="C37" s="118"/>
      <c r="D37" s="93" t="s">
        <v>322</v>
      </c>
      <c r="E37" s="94" t="s">
        <v>322</v>
      </c>
      <c r="F37" s="98"/>
      <c r="G37" s="94" t="s">
        <v>322</v>
      </c>
      <c r="H37" s="94" t="s">
        <v>322</v>
      </c>
      <c r="I37" s="91"/>
      <c r="J37" s="93" t="s">
        <v>322</v>
      </c>
      <c r="K37" s="94" t="s">
        <v>322</v>
      </c>
      <c r="L37" s="91"/>
      <c r="N37" s="171"/>
      <c r="O37" s="171"/>
    </row>
    <row r="38" spans="1:16" s="4" customFormat="1" ht="11.25">
      <c r="A38" s="21" t="s">
        <v>339</v>
      </c>
      <c r="B38" s="11"/>
      <c r="C38" s="43"/>
      <c r="D38" s="93">
        <f>VLOOKUP($A$4,Luvut!$B$3:$AT$307,25)</f>
        <v>1745335</v>
      </c>
      <c r="E38" s="94">
        <f t="shared" si="0"/>
        <v>324.8396167963263</v>
      </c>
      <c r="F38" s="95" t="s">
        <v>322</v>
      </c>
      <c r="G38" s="94">
        <f>VLOOKUP($A$4,Luvut!$B$3:$ED$307,69)</f>
        <v>1891826</v>
      </c>
      <c r="H38" s="94">
        <f t="shared" si="1"/>
        <v>350.4567193381909</v>
      </c>
      <c r="I38" s="91">
        <f>((G38/D38)-1)*100</f>
        <v>8.393288394491606</v>
      </c>
      <c r="J38" s="93">
        <f>VLOOKUP($A$4,Luvut!$B$3:$ED$307,113)</f>
        <v>2058535</v>
      </c>
      <c r="K38" s="94">
        <f>J38*1000/$J$6</f>
        <v>379.6211192998788</v>
      </c>
      <c r="L38" s="91">
        <f>((J38/G38)-1)*100</f>
        <v>8.812068340323043</v>
      </c>
      <c r="N38" s="171"/>
      <c r="O38" s="171"/>
      <c r="P38" s="133"/>
    </row>
    <row r="39" spans="1:15" s="3" customFormat="1" ht="11.25">
      <c r="A39" s="21" t="s">
        <v>320</v>
      </c>
      <c r="B39" s="11"/>
      <c r="C39" s="43"/>
      <c r="D39" s="93">
        <f>VLOOKUP($A$4,Luvut!$B$3:$AT$307,26)</f>
        <v>139813</v>
      </c>
      <c r="E39" s="94">
        <f t="shared" si="0"/>
        <v>26.021824660105235</v>
      </c>
      <c r="F39" s="95"/>
      <c r="G39" s="94">
        <f>VLOOKUP($A$4,Luvut!$B$3:$ED$307,70)</f>
        <v>271406</v>
      </c>
      <c r="H39" s="94">
        <f t="shared" si="1"/>
        <v>50.2773808842362</v>
      </c>
      <c r="I39" s="91"/>
      <c r="J39" s="93">
        <f>VLOOKUP($A$4,Luvut!$B$3:$ED$307,114)</f>
        <v>384160</v>
      </c>
      <c r="K39" s="94">
        <f>J39*1000/$J$6</f>
        <v>70.84419219990986</v>
      </c>
      <c r="L39" s="91"/>
      <c r="M39" s="30"/>
      <c r="N39" s="171"/>
      <c r="O39" s="171"/>
    </row>
    <row r="40" spans="1:15" s="3" customFormat="1" ht="11.25">
      <c r="A40" s="21" t="s">
        <v>321</v>
      </c>
      <c r="B40" s="11"/>
      <c r="C40" s="43"/>
      <c r="D40" s="93">
        <f>VLOOKUP($A$4,Luvut!$B$3:$AT$307,27)</f>
        <v>29218</v>
      </c>
      <c r="E40" s="94">
        <f t="shared" si="0"/>
        <v>5.438018445487578</v>
      </c>
      <c r="F40" s="95"/>
      <c r="G40" s="94">
        <f>VLOOKUP($A$4,Luvut!$B$3:$ED$307,71)</f>
        <v>29081</v>
      </c>
      <c r="H40" s="94">
        <f t="shared" si="1"/>
        <v>5.387193037348006</v>
      </c>
      <c r="I40" s="91"/>
      <c r="J40" s="93">
        <f>VLOOKUP($A$4,Luvut!$B$3:$ED$307,115)</f>
        <v>18131</v>
      </c>
      <c r="K40" s="94">
        <f>J40*1000/$J$6</f>
        <v>3.343596545128503</v>
      </c>
      <c r="L40" s="91"/>
      <c r="M40" s="30"/>
      <c r="N40" s="171"/>
      <c r="O40" s="171"/>
    </row>
    <row r="41" spans="1:20" s="3" customFormat="1" ht="11.25">
      <c r="A41" s="46" t="s">
        <v>304</v>
      </c>
      <c r="B41" s="36"/>
      <c r="C41" s="118"/>
      <c r="D41" s="96">
        <f>VLOOKUP($A$4,Luvut!$B$3:$AT$307,28)</f>
        <v>419733</v>
      </c>
      <c r="E41" s="97">
        <f t="shared" si="0"/>
        <v>78.12019290094591</v>
      </c>
      <c r="F41" s="98"/>
      <c r="G41" s="97">
        <f>VLOOKUP($A$4,Luvut!$B$3:$ED$307,72)</f>
        <v>-308864</v>
      </c>
      <c r="H41" s="97">
        <f t="shared" si="1"/>
        <v>-57.21639525076355</v>
      </c>
      <c r="I41" s="91"/>
      <c r="J41" s="96">
        <f>VLOOKUP($A$4,Luvut!$B$3:$ED$307,116)</f>
        <v>370230</v>
      </c>
      <c r="K41" s="97">
        <f>J41*1000/$J$6</f>
        <v>68.27531569703412</v>
      </c>
      <c r="L41" s="91"/>
      <c r="N41" s="171"/>
      <c r="O41" s="171"/>
      <c r="Q41" s="192"/>
      <c r="R41" s="192"/>
      <c r="S41" s="192"/>
      <c r="T41" s="192"/>
    </row>
    <row r="42" spans="1:15" s="3" customFormat="1" ht="11.25">
      <c r="A42" s="46"/>
      <c r="B42" s="36"/>
      <c r="C42" s="118"/>
      <c r="D42" s="93" t="s">
        <v>322</v>
      </c>
      <c r="E42" s="94" t="s">
        <v>322</v>
      </c>
      <c r="F42" s="98"/>
      <c r="G42" s="94" t="s">
        <v>322</v>
      </c>
      <c r="H42" s="94" t="s">
        <v>322</v>
      </c>
      <c r="I42" s="91"/>
      <c r="J42" s="93" t="s">
        <v>322</v>
      </c>
      <c r="K42" s="94" t="s">
        <v>322</v>
      </c>
      <c r="L42" s="91"/>
      <c r="M42" s="30"/>
      <c r="N42" s="171"/>
      <c r="O42" s="171"/>
    </row>
    <row r="43" spans="1:15" s="4" customFormat="1" ht="11.25">
      <c r="A43" s="21" t="s">
        <v>305</v>
      </c>
      <c r="B43" s="11"/>
      <c r="C43" s="43"/>
      <c r="D43" s="93">
        <f>VLOOKUP($A$4,Luvut!$B$3:$AT$307,29)</f>
        <v>-10157</v>
      </c>
      <c r="E43" s="94">
        <f t="shared" si="0"/>
        <v>-1.8904084246292467</v>
      </c>
      <c r="F43" s="95" t="s">
        <v>322</v>
      </c>
      <c r="G43" s="94">
        <f>VLOOKUP($A$4,Luvut!$B$3:$ED$307,73)</f>
        <v>20056</v>
      </c>
      <c r="H43" s="94">
        <f t="shared" si="1"/>
        <v>3.7153310944276887</v>
      </c>
      <c r="I43" s="91"/>
      <c r="J43" s="93">
        <f>VLOOKUP($A$4,Luvut!$B$3:$ED$307,117)</f>
        <v>-19191</v>
      </c>
      <c r="K43" s="94">
        <f>J43*1000/$J$6</f>
        <v>-3.5390745848304617</v>
      </c>
      <c r="L43" s="91"/>
      <c r="M43" s="61"/>
      <c r="N43" s="171"/>
      <c r="O43" s="171"/>
    </row>
    <row r="44" spans="1:15" s="3" customFormat="1" ht="11.25">
      <c r="A44" s="21" t="s">
        <v>306</v>
      </c>
      <c r="B44" s="11"/>
      <c r="C44" s="43"/>
      <c r="D44" s="93">
        <f>VLOOKUP($A$4,Luvut!$B$3:$AT$307,30)</f>
        <v>33385</v>
      </c>
      <c r="E44" s="94">
        <f t="shared" si="0"/>
        <v>6.213575391970799</v>
      </c>
      <c r="F44" s="95"/>
      <c r="G44" s="94">
        <f>VLOOKUP($A$4,Luvut!$B$3:$ED$307,74)</f>
        <v>-6257</v>
      </c>
      <c r="H44" s="94">
        <f t="shared" si="1"/>
        <v>-1.159095864471183</v>
      </c>
      <c r="I44" s="91"/>
      <c r="J44" s="93">
        <f>VLOOKUP($A$4,Luvut!$B$3:$ED$307,118)</f>
        <v>-6649</v>
      </c>
      <c r="K44" s="94">
        <f>J44*1000/$J$6</f>
        <v>-1.226163666017286</v>
      </c>
      <c r="L44" s="91"/>
      <c r="N44" s="171"/>
      <c r="O44" s="171"/>
    </row>
    <row r="45" spans="1:15" s="8" customFormat="1" ht="11.25">
      <c r="A45" s="21" t="s">
        <v>307</v>
      </c>
      <c r="B45" s="11"/>
      <c r="C45" s="43"/>
      <c r="D45" s="93">
        <f>VLOOKUP($A$4,Luvut!$B$3:$AT$307,31)</f>
        <v>23007</v>
      </c>
      <c r="E45" s="94">
        <f t="shared" si="0"/>
        <v>4.282034717480071</v>
      </c>
      <c r="F45" s="95"/>
      <c r="G45" s="94">
        <f>VLOOKUP($A$4,Luvut!$B$3:$ED$307,75)</f>
        <v>10973</v>
      </c>
      <c r="H45" s="94">
        <f t="shared" si="1"/>
        <v>2.0327247755861104</v>
      </c>
      <c r="I45" s="91"/>
      <c r="J45" s="93">
        <f>VLOOKUP($A$4,Luvut!$B$3:$ED$307,119)</f>
        <v>49155</v>
      </c>
      <c r="K45" s="94">
        <f>J45*1000/$J$6</f>
        <v>9.06483305806583</v>
      </c>
      <c r="L45" s="91"/>
      <c r="N45" s="171"/>
      <c r="O45" s="171"/>
    </row>
    <row r="46" spans="1:15" s="8" customFormat="1" ht="11.25">
      <c r="A46" s="46" t="s">
        <v>380</v>
      </c>
      <c r="B46" s="36"/>
      <c r="C46" s="118"/>
      <c r="D46" s="96">
        <f>VLOOKUP($A$4,Luvut!$B$3:$AT$307,32)</f>
        <v>465969</v>
      </c>
      <c r="E46" s="97">
        <f t="shared" si="0"/>
        <v>86.7255807045452</v>
      </c>
      <c r="F46" s="98"/>
      <c r="G46" s="97">
        <f>VLOOKUP($A$4,Luvut!$B$3:$ED$307,76)</f>
        <v>-284093</v>
      </c>
      <c r="H46" s="97">
        <f t="shared" si="1"/>
        <v>-52.62762049308164</v>
      </c>
      <c r="I46" s="91"/>
      <c r="J46" s="96">
        <f>VLOOKUP($A$4,Luvut!$B$3:$ED$307,120)</f>
        <v>393545</v>
      </c>
      <c r="K46" s="97">
        <f>J46*1000/$J$6</f>
        <v>72.5749105042522</v>
      </c>
      <c r="L46" s="91"/>
      <c r="M46" s="66"/>
      <c r="N46" s="171"/>
      <c r="O46" s="171"/>
    </row>
    <row r="47" spans="1:15" s="3" customFormat="1" ht="12.75">
      <c r="A47" s="46" t="s">
        <v>381</v>
      </c>
      <c r="B47" s="11"/>
      <c r="C47" s="43"/>
      <c r="D47" s="96">
        <f>VLOOKUP($A$4,Luvut!$B$3:$AU$307,33)</f>
        <v>7483853</v>
      </c>
      <c r="E47" s="97">
        <f t="shared" si="0"/>
        <v>1392.8855725004294</v>
      </c>
      <c r="F47" s="98"/>
      <c r="G47" s="97">
        <f>VLOOKUP($A$4,Luvut!$B$3:$ED$307,77)</f>
        <v>6571580</v>
      </c>
      <c r="H47" s="97">
        <f t="shared" si="1"/>
        <v>1217.371136493773</v>
      </c>
      <c r="I47" s="91"/>
      <c r="J47" s="96">
        <f>VLOOKUP($A$4,Luvut!$B$3:$ED$307,121)</f>
        <v>6961486</v>
      </c>
      <c r="K47" s="97">
        <f>J47*1000/$J$6</f>
        <v>1283.7902232949336</v>
      </c>
      <c r="L47" s="91"/>
      <c r="M47" s="15"/>
      <c r="N47" s="171"/>
      <c r="O47" s="171"/>
    </row>
    <row r="48" spans="1:15" s="3" customFormat="1" ht="11.25">
      <c r="A48" s="46"/>
      <c r="B48" s="11"/>
      <c r="C48" s="43"/>
      <c r="D48" s="55"/>
      <c r="E48" s="12"/>
      <c r="F48" s="47"/>
      <c r="G48" s="11"/>
      <c r="H48" s="11"/>
      <c r="I48" s="91"/>
      <c r="J48" s="21"/>
      <c r="K48" s="11"/>
      <c r="L48" s="91"/>
      <c r="N48" s="171"/>
      <c r="O48" s="171"/>
    </row>
    <row r="49" spans="1:15" s="3" customFormat="1" ht="15.75">
      <c r="A49" s="59" t="s">
        <v>310</v>
      </c>
      <c r="B49" s="11"/>
      <c r="C49" s="43"/>
      <c r="D49" s="63">
        <v>1000</v>
      </c>
      <c r="E49" s="44" t="s">
        <v>335</v>
      </c>
      <c r="F49" s="45"/>
      <c r="G49" s="64">
        <v>1000</v>
      </c>
      <c r="H49" s="44" t="s">
        <v>335</v>
      </c>
      <c r="I49" s="91"/>
      <c r="J49" s="63">
        <v>1000</v>
      </c>
      <c r="K49" s="44" t="s">
        <v>335</v>
      </c>
      <c r="L49" s="91"/>
      <c r="N49" s="171"/>
      <c r="O49" s="171"/>
    </row>
    <row r="50" spans="1:15" s="3" customFormat="1" ht="11.25">
      <c r="A50" s="21"/>
      <c r="B50" s="11"/>
      <c r="C50" s="43"/>
      <c r="D50" s="56"/>
      <c r="E50" s="12" t="s">
        <v>322</v>
      </c>
      <c r="F50" s="43"/>
      <c r="G50" s="11"/>
      <c r="H50" s="11"/>
      <c r="I50" s="91"/>
      <c r="J50" s="21"/>
      <c r="K50" s="11"/>
      <c r="L50" s="91"/>
      <c r="N50" s="171"/>
      <c r="O50" s="171"/>
    </row>
    <row r="51" spans="1:15" s="4" customFormat="1" ht="11.25">
      <c r="A51" s="46" t="s">
        <v>376</v>
      </c>
      <c r="B51" s="36"/>
      <c r="C51" s="118"/>
      <c r="D51" s="96">
        <f>VLOOKUP($A$4,Luvut!$B$3:$AT$307,34)</f>
        <v>1712122</v>
      </c>
      <c r="E51" s="97">
        <f t="shared" si="0"/>
        <v>318.65805383411197</v>
      </c>
      <c r="F51" s="98" t="s">
        <v>322</v>
      </c>
      <c r="G51" s="97">
        <f>VLOOKUP($A$4,Luvut!$B$3:$ED$307,78)</f>
        <v>1037245</v>
      </c>
      <c r="H51" s="97">
        <f aca="true" t="shared" si="2" ref="H51:H70">G51*1000/$G$6</f>
        <v>192.14741728358837</v>
      </c>
      <c r="I51" s="91"/>
      <c r="J51" s="96">
        <f>VLOOKUP($A$4,Luvut!$B$3:$ED$307,122)</f>
        <v>1816605</v>
      </c>
      <c r="K51" s="97">
        <f aca="true" t="shared" si="3" ref="K51:K60">J51*1000/$J$6</f>
        <v>335.00602293658176</v>
      </c>
      <c r="L51" s="91"/>
      <c r="M51" s="61"/>
      <c r="N51" s="171"/>
      <c r="O51" s="171"/>
    </row>
    <row r="52" spans="1:22" s="4" customFormat="1" ht="11.25">
      <c r="A52" s="46" t="s">
        <v>312</v>
      </c>
      <c r="B52" s="36"/>
      <c r="C52" s="118"/>
      <c r="D52" s="96">
        <f>D53+D54+D55</f>
        <v>-2640768</v>
      </c>
      <c r="E52" s="97">
        <f t="shared" si="0"/>
        <v>-491.49651222716614</v>
      </c>
      <c r="F52" s="98"/>
      <c r="G52" s="97">
        <f>G53+G54+G55</f>
        <v>-2712656</v>
      </c>
      <c r="H52" s="97">
        <f t="shared" si="2"/>
        <v>-502.5137208459232</v>
      </c>
      <c r="I52" s="91">
        <f>((G52/D52)-1)*100</f>
        <v>2.7222383791381866</v>
      </c>
      <c r="J52" s="96">
        <f>J53+J54+J55</f>
        <v>-2708029</v>
      </c>
      <c r="K52" s="97">
        <f t="shared" si="3"/>
        <v>-499.39641544910893</v>
      </c>
      <c r="L52" s="91">
        <f>((J52/G52)-1)*100</f>
        <v>-0.17057083537315165</v>
      </c>
      <c r="N52" s="171"/>
      <c r="O52" s="171"/>
      <c r="P52" s="81"/>
      <c r="Q52" s="81"/>
      <c r="R52" s="81"/>
      <c r="S52" s="81"/>
      <c r="T52" s="81"/>
      <c r="U52" s="81"/>
      <c r="V52" s="81"/>
    </row>
    <row r="53" spans="1:22" s="4" customFormat="1" ht="11.25">
      <c r="A53" s="120" t="s">
        <v>352</v>
      </c>
      <c r="B53" s="36"/>
      <c r="C53" s="118"/>
      <c r="D53" s="93">
        <f>VLOOKUP($A$4,Luvut!$B$3:$EP$307,140)</f>
        <v>-3574021</v>
      </c>
      <c r="E53" s="94">
        <f t="shared" si="0"/>
        <v>-665.1924198288713</v>
      </c>
      <c r="F53" s="95"/>
      <c r="G53" s="94">
        <f>VLOOKUP($A$4,Luvut!$B$3:$EP$307,143)</f>
        <v>-3748061</v>
      </c>
      <c r="H53" s="94">
        <f t="shared" si="2"/>
        <v>-694.3202820658026</v>
      </c>
      <c r="I53" s="91">
        <f>((G53/D53)-1)*100</f>
        <v>4.869585265447518</v>
      </c>
      <c r="J53" s="93">
        <f>VLOOKUP($A$4,Luvut!$B$3:$FM$307,146)</f>
        <v>-3815428</v>
      </c>
      <c r="K53" s="94">
        <f t="shared" si="3"/>
        <v>-703.6154585509103</v>
      </c>
      <c r="L53" s="91">
        <f>((J53/G53)-1)*100</f>
        <v>1.797382700014749</v>
      </c>
      <c r="N53" s="171"/>
      <c r="O53" s="171"/>
      <c r="P53" s="81"/>
      <c r="Q53" s="81"/>
      <c r="R53" s="81"/>
      <c r="S53" s="81"/>
      <c r="T53" s="81"/>
      <c r="U53" s="81"/>
      <c r="V53" s="81"/>
    </row>
    <row r="54" spans="1:22" s="4" customFormat="1" ht="11.25">
      <c r="A54" s="120" t="s">
        <v>353</v>
      </c>
      <c r="B54" s="36"/>
      <c r="C54" s="118"/>
      <c r="D54" s="93">
        <f>VLOOKUP($A$4,Luvut!$B$3:$EP$307,141)</f>
        <v>228298</v>
      </c>
      <c r="E54" s="94">
        <f t="shared" si="0"/>
        <v>42.490544700798246</v>
      </c>
      <c r="F54" s="95"/>
      <c r="G54" s="94">
        <f>VLOOKUP($A$4,Luvut!$B$3:$EP$307,144)</f>
        <v>195098</v>
      </c>
      <c r="H54" s="94">
        <f t="shared" si="2"/>
        <v>36.14148712907126</v>
      </c>
      <c r="I54" s="91">
        <f>((G54/D54)-1)*100</f>
        <v>-14.542396341623665</v>
      </c>
      <c r="J54" s="93">
        <f>VLOOKUP($A$4,Luvut!$B$3:$FM$307,147)</f>
        <v>210416</v>
      </c>
      <c r="K54" s="94">
        <f t="shared" si="3"/>
        <v>38.80349736030881</v>
      </c>
      <c r="L54" s="91">
        <f>((J54/G54)-1)*100</f>
        <v>7.851438764108298</v>
      </c>
      <c r="N54" s="171"/>
      <c r="O54" s="171"/>
      <c r="P54" s="81"/>
      <c r="Q54" s="81"/>
      <c r="R54" s="81"/>
      <c r="S54" s="81"/>
      <c r="T54" s="81"/>
      <c r="U54" s="81"/>
      <c r="V54" s="81"/>
    </row>
    <row r="55" spans="1:22" s="4" customFormat="1" ht="11.25">
      <c r="A55" s="120" t="s">
        <v>354</v>
      </c>
      <c r="B55" s="36"/>
      <c r="C55" s="118"/>
      <c r="D55" s="93">
        <f>VLOOKUP($A$4,Luvut!$B$3:$EP$307,142)</f>
        <v>704955</v>
      </c>
      <c r="E55" s="94">
        <f t="shared" si="0"/>
        <v>131.20536290090683</v>
      </c>
      <c r="F55" s="95"/>
      <c r="G55" s="94">
        <f>VLOOKUP($A$4,Luvut!$B$3:$EP$307,145)</f>
        <v>840307</v>
      </c>
      <c r="H55" s="94">
        <f t="shared" si="2"/>
        <v>155.66507409080813</v>
      </c>
      <c r="I55" s="91">
        <f>((G55/D55)-1)*100</f>
        <v>19.200090785936695</v>
      </c>
      <c r="J55" s="93">
        <f>VLOOKUP($A$4,Luvut!$B$3:$FM$307,148)</f>
        <v>896983</v>
      </c>
      <c r="K55" s="94">
        <f t="shared" si="3"/>
        <v>165.41554574149245</v>
      </c>
      <c r="L55" s="91">
        <f>((J55/G55)-1)*100</f>
        <v>6.7446778379806505</v>
      </c>
      <c r="N55" s="171"/>
      <c r="O55" s="171"/>
      <c r="P55" s="81"/>
      <c r="Q55" s="81"/>
      <c r="R55" s="81"/>
      <c r="S55" s="81"/>
      <c r="T55" s="81"/>
      <c r="U55" s="81"/>
      <c r="V55" s="81"/>
    </row>
    <row r="56" spans="1:15" s="3" customFormat="1" ht="11.25">
      <c r="A56" s="21" t="s">
        <v>375</v>
      </c>
      <c r="B56" s="11"/>
      <c r="C56" s="43"/>
      <c r="D56" s="93">
        <f>VLOOKUP($A$4,Luvut!$B$3:$AT$307,36)</f>
        <v>-116125</v>
      </c>
      <c r="E56" s="94">
        <f t="shared" si="0"/>
        <v>-21.613043055042954</v>
      </c>
      <c r="F56" s="95"/>
      <c r="G56" s="94">
        <f>VLOOKUP($A$4,Luvut!$B$3:$ED$307,80)</f>
        <v>-106334</v>
      </c>
      <c r="H56" s="94">
        <f t="shared" si="2"/>
        <v>-19.698146020885215</v>
      </c>
      <c r="I56" s="91"/>
      <c r="J56" s="93">
        <f>VLOOKUP($A$4,Luvut!$B$3:$ED$307,124)</f>
        <v>11698</v>
      </c>
      <c r="K56" s="94">
        <f t="shared" si="3"/>
        <v>2.157266140031616</v>
      </c>
      <c r="L56" s="91"/>
      <c r="M56" s="30"/>
      <c r="N56" s="171"/>
      <c r="O56" s="171"/>
    </row>
    <row r="57" spans="1:15" s="4" customFormat="1" ht="11.25">
      <c r="A57" s="21" t="s">
        <v>311</v>
      </c>
      <c r="B57" s="11"/>
      <c r="C57" s="43"/>
      <c r="D57" s="93">
        <f>VLOOKUP($A$4,Luvut!$B$3:$AT$307,37)</f>
        <v>-1315633</v>
      </c>
      <c r="E57" s="94">
        <f t="shared" si="0"/>
        <v>-244.86400580095005</v>
      </c>
      <c r="F57" s="95"/>
      <c r="G57" s="94">
        <f>VLOOKUP($A$4,Luvut!$B$3:$ED$307,81)</f>
        <v>-1351668</v>
      </c>
      <c r="H57" s="94">
        <f t="shared" si="2"/>
        <v>-250.39360539204654</v>
      </c>
      <c r="I57" s="91"/>
      <c r="J57" s="93">
        <f>VLOOKUP($A$4,Luvut!$B$3:$ED$307,125)</f>
        <v>-1514912</v>
      </c>
      <c r="K57" s="94">
        <f t="shared" si="3"/>
        <v>-279.36983781223927</v>
      </c>
      <c r="L57" s="91"/>
      <c r="M57" s="61"/>
      <c r="N57" s="171"/>
      <c r="O57" s="171"/>
    </row>
    <row r="58" spans="1:15" s="4" customFormat="1" ht="11.25">
      <c r="A58" s="21" t="s">
        <v>355</v>
      </c>
      <c r="B58" s="36"/>
      <c r="C58" s="118"/>
      <c r="D58" s="93">
        <f>VLOOKUP($A$4,Luvut!$B$3:$EY$307,149)</f>
        <v>1764529</v>
      </c>
      <c r="E58" s="94">
        <f t="shared" si="0"/>
        <v>328.4119806146126</v>
      </c>
      <c r="F58" s="98"/>
      <c r="G58" s="94">
        <f>VLOOKUP($A$4,Luvut!$B$3:$EY$307,151)</f>
        <v>2125190</v>
      </c>
      <c r="H58" s="94">
        <f t="shared" si="2"/>
        <v>393.6869011052443</v>
      </c>
      <c r="I58" s="91"/>
      <c r="J58" s="93">
        <f>VLOOKUP($A$4,Luvut!$B$3:$EY$307,153)</f>
        <v>2724696</v>
      </c>
      <c r="K58" s="94">
        <f t="shared" si="3"/>
        <v>502.47003100355477</v>
      </c>
      <c r="L58" s="91"/>
      <c r="M58" s="61"/>
      <c r="N58" s="171"/>
      <c r="O58" s="171"/>
    </row>
    <row r="59" spans="1:15" s="4" customFormat="1" ht="11.25">
      <c r="A59" s="21" t="s">
        <v>356</v>
      </c>
      <c r="B59" s="11"/>
      <c r="C59" s="43"/>
      <c r="D59" s="93">
        <f>VLOOKUP($A$4,Luvut!$B$3:$EY$307,150)</f>
        <v>44700</v>
      </c>
      <c r="E59" s="94">
        <f t="shared" si="0"/>
        <v>8.3195093611231</v>
      </c>
      <c r="F59" s="95"/>
      <c r="G59" s="94">
        <f>VLOOKUP($A$4,Luvut!$B$3:$EY$307,152)</f>
        <v>463855</v>
      </c>
      <c r="H59" s="94">
        <f t="shared" si="2"/>
        <v>85.928146430283</v>
      </c>
      <c r="I59" s="91"/>
      <c r="J59" s="93">
        <f>VLOOKUP($A$4,Luvut!$B$3:$EY$307,154)</f>
        <v>362801</v>
      </c>
      <c r="K59" s="94">
        <f t="shared" si="3"/>
        <v>66.90530969991539</v>
      </c>
      <c r="L59" s="91"/>
      <c r="M59" s="61"/>
      <c r="N59" s="171"/>
      <c r="O59" s="171"/>
    </row>
    <row r="60" spans="1:15" s="4" customFormat="1" ht="11.25">
      <c r="A60" s="46" t="s">
        <v>347</v>
      </c>
      <c r="B60" s="36"/>
      <c r="C60" s="118"/>
      <c r="D60" s="96">
        <f>VLOOKUP($A$4,Luvut!$B$3:$AT$307,38)</f>
        <v>-928656</v>
      </c>
      <c r="E60" s="97">
        <f t="shared" si="0"/>
        <v>-172.84031958083074</v>
      </c>
      <c r="F60" s="98"/>
      <c r="G60" s="97">
        <f>VLOOKUP($A$4,Luvut!$B$3:$ED$307,82)</f>
        <v>-1675398</v>
      </c>
      <c r="H60" s="97">
        <f t="shared" si="2"/>
        <v>-310.36389534014563</v>
      </c>
      <c r="I60" s="91"/>
      <c r="J60" s="96">
        <f>VLOOKUP($A$4,Luvut!$B$3:$ED$307,126)</f>
        <v>-891428</v>
      </c>
      <c r="K60" s="97">
        <f t="shared" si="3"/>
        <v>-164.3911301655072</v>
      </c>
      <c r="L60" s="91"/>
      <c r="N60" s="171"/>
      <c r="O60" s="171"/>
    </row>
    <row r="61" spans="1:15" s="4" customFormat="1" ht="11.25">
      <c r="A61" s="46"/>
      <c r="B61" s="36"/>
      <c r="C61" s="118"/>
      <c r="D61" s="96"/>
      <c r="E61" s="97"/>
      <c r="F61" s="98"/>
      <c r="G61" s="97"/>
      <c r="H61" s="97"/>
      <c r="I61" s="91"/>
      <c r="J61" s="96"/>
      <c r="K61" s="97"/>
      <c r="L61" s="91"/>
      <c r="N61" s="171"/>
      <c r="O61" s="171"/>
    </row>
    <row r="62" spans="1:15" s="9" customFormat="1" ht="12.75">
      <c r="A62" s="46" t="s">
        <v>300</v>
      </c>
      <c r="B62" s="48"/>
      <c r="C62" s="121"/>
      <c r="D62" s="96">
        <f>VLOOKUP($A$4,Luvut!$B$3:$AT$307,39)</f>
        <v>18973738</v>
      </c>
      <c r="E62" s="97">
        <f t="shared" si="0"/>
        <v>3531.368924082709</v>
      </c>
      <c r="F62" s="111"/>
      <c r="G62" s="97">
        <f>VLOOKUP($A$4,Luvut!$B$3:$ED$307,83)</f>
        <v>19227970</v>
      </c>
      <c r="H62" s="97">
        <f t="shared" si="2"/>
        <v>3561.9403083228344</v>
      </c>
      <c r="I62" s="91">
        <f>((G62/D62)-1)*100</f>
        <v>1.3399152027923966</v>
      </c>
      <c r="J62" s="96">
        <f>VLOOKUP($A$4,Luvut!$B$3:$ED$307,127)</f>
        <v>20550650</v>
      </c>
      <c r="K62" s="97">
        <f>J62*1000/$J$6</f>
        <v>3789.8120533972237</v>
      </c>
      <c r="L62" s="91">
        <f>((J62/G62)-1)*100</f>
        <v>6.878937298113108</v>
      </c>
      <c r="M62" s="62"/>
      <c r="N62" s="171" t="s">
        <v>322</v>
      </c>
      <c r="O62" s="171" t="s">
        <v>322</v>
      </c>
    </row>
    <row r="63" spans="1:15" s="8" customFormat="1" ht="11.25">
      <c r="A63" s="21" t="s">
        <v>323</v>
      </c>
      <c r="B63" s="49"/>
      <c r="C63" s="119"/>
      <c r="D63" s="93">
        <f>VLOOKUP($A$4,Luvut!$B$3:$AT$307,40)</f>
        <v>16127866</v>
      </c>
      <c r="E63" s="94">
        <f t="shared" si="0"/>
        <v>3001.698706083646</v>
      </c>
      <c r="F63" s="112"/>
      <c r="G63" s="94">
        <f>VLOOKUP($A$4,Luvut!$B$3:$ED$307,84)</f>
        <v>16754413</v>
      </c>
      <c r="H63" s="94">
        <f t="shared" si="2"/>
        <v>3103.719165725144</v>
      </c>
      <c r="I63" s="91">
        <f aca="true" t="shared" si="4" ref="I63:I70">((G63/D63)-1)*100</f>
        <v>3.8848723073467983</v>
      </c>
      <c r="J63" s="93">
        <f>VLOOKUP($A$4,Luvut!$B$3:$ED$307,128)</f>
        <v>17881106</v>
      </c>
      <c r="K63" s="94">
        <f>J63*1000/$J$6</f>
        <v>3297.512781682011</v>
      </c>
      <c r="L63" s="91">
        <f aca="true" t="shared" si="5" ref="L63:L70">((J63/G63)-1)*100</f>
        <v>6.724753651470805</v>
      </c>
      <c r="N63" s="171" t="s">
        <v>322</v>
      </c>
      <c r="O63" s="171" t="s">
        <v>322</v>
      </c>
    </row>
    <row r="64" spans="1:20" ht="12.75">
      <c r="A64" s="21" t="s">
        <v>324</v>
      </c>
      <c r="B64" s="33"/>
      <c r="C64" s="122"/>
      <c r="D64" s="93">
        <f>VLOOKUP($A$4,Luvut!$B$3:$AT$307,41)</f>
        <v>1645217</v>
      </c>
      <c r="E64" s="94">
        <f t="shared" si="0"/>
        <v>306.2057770151871</v>
      </c>
      <c r="F64" s="113"/>
      <c r="G64" s="94">
        <f>VLOOKUP($A$4,Luvut!$B$3:$ED$307,85)</f>
        <v>1205379</v>
      </c>
      <c r="H64" s="94">
        <f t="shared" si="2"/>
        <v>223.29388109643762</v>
      </c>
      <c r="I64" s="91">
        <f t="shared" si="4"/>
        <v>-26.734345682058958</v>
      </c>
      <c r="J64" s="93">
        <f>VLOOKUP($A$4,Luvut!$B$3:$ED$307,129)</f>
        <v>1308621</v>
      </c>
      <c r="K64" s="94">
        <f>J64*1000/$J$6</f>
        <v>241.3270450875631</v>
      </c>
      <c r="L64" s="91">
        <f t="shared" si="5"/>
        <v>8.565106908283626</v>
      </c>
      <c r="M64" s="16"/>
      <c r="N64" s="171" t="s">
        <v>322</v>
      </c>
      <c r="O64" s="171" t="s">
        <v>322</v>
      </c>
      <c r="Q64" s="15"/>
      <c r="T64" s="15"/>
    </row>
    <row r="65" spans="1:15" ht="12.75">
      <c r="A65" s="21" t="s">
        <v>325</v>
      </c>
      <c r="B65" s="33"/>
      <c r="C65" s="122"/>
      <c r="D65" s="93">
        <f>VLOOKUP($A$4,Luvut!$B$3:$AT$307,42)</f>
        <v>1199955</v>
      </c>
      <c r="E65" s="94">
        <f t="shared" si="0"/>
        <v>223.33415783951833</v>
      </c>
      <c r="F65" s="113"/>
      <c r="G65" s="94">
        <f>VLOOKUP($A$4,Luvut!$B$3:$ED$307,86)</f>
        <v>1268178</v>
      </c>
      <c r="H65" s="94">
        <f t="shared" si="2"/>
        <v>234.92726150125236</v>
      </c>
      <c r="I65" s="91">
        <f t="shared" si="4"/>
        <v>5.685463204870178</v>
      </c>
      <c r="J65" s="93">
        <f>VLOOKUP($A$4,Luvut!$B$3:$ED$307,130)</f>
        <v>1360351</v>
      </c>
      <c r="K65" s="94">
        <f>J65*1000/$J$6</f>
        <v>250.8667422515087</v>
      </c>
      <c r="L65" s="91">
        <f t="shared" si="5"/>
        <v>7.268143746382605</v>
      </c>
      <c r="N65" s="171" t="s">
        <v>322</v>
      </c>
      <c r="O65" s="171" t="s">
        <v>322</v>
      </c>
    </row>
    <row r="66" spans="1:16" ht="12.75">
      <c r="A66" s="21"/>
      <c r="B66" s="33"/>
      <c r="C66" s="122"/>
      <c r="D66" s="93"/>
      <c r="E66" s="94"/>
      <c r="F66" s="113"/>
      <c r="G66" s="94"/>
      <c r="H66" s="94"/>
      <c r="I66" s="91"/>
      <c r="J66" s="93"/>
      <c r="K66" s="94"/>
      <c r="L66" s="91"/>
      <c r="N66" s="171"/>
      <c r="O66" s="171"/>
      <c r="P66" s="165"/>
    </row>
    <row r="67" spans="1:16" s="86" customFormat="1" ht="12.75">
      <c r="A67" s="46" t="s">
        <v>361</v>
      </c>
      <c r="B67" s="126"/>
      <c r="C67" s="45"/>
      <c r="D67" s="96">
        <f>VLOOKUP($A$4,Luvut!$B$3:$FG$307,155)</f>
        <v>10947669</v>
      </c>
      <c r="E67" s="97">
        <f t="shared" si="0"/>
        <v>2037.566772437968</v>
      </c>
      <c r="F67" s="127"/>
      <c r="G67" s="97">
        <f>VLOOKUP($A$4,Luvut!$B$3:$FG$307,159)</f>
        <v>12212447</v>
      </c>
      <c r="H67" s="97">
        <f t="shared" si="2"/>
        <v>2262.3296808012637</v>
      </c>
      <c r="I67" s="91">
        <f t="shared" si="4"/>
        <v>11.552943370867341</v>
      </c>
      <c r="J67" s="96">
        <f>VLOOKUP($A$4,Luvut!$B$3:$FM$307,163)</f>
        <v>13786842</v>
      </c>
      <c r="K67" s="97">
        <f>J67*1000/$J$6</f>
        <v>2542.4762715477655</v>
      </c>
      <c r="L67" s="91">
        <f t="shared" si="5"/>
        <v>12.891724320277497</v>
      </c>
      <c r="N67" s="171" t="s">
        <v>322</v>
      </c>
      <c r="O67" s="171" t="s">
        <v>322</v>
      </c>
      <c r="P67" s="166"/>
    </row>
    <row r="68" spans="1:15" ht="12.75">
      <c r="A68" s="141" t="s">
        <v>359</v>
      </c>
      <c r="B68" s="142"/>
      <c r="C68" s="143"/>
      <c r="D68" s="93">
        <f>VLOOKUP($A$4,Luvut!$B$3:$FG$307,156)</f>
        <v>8209512</v>
      </c>
      <c r="E68" s="94">
        <f t="shared" si="0"/>
        <v>1527.9443385738798</v>
      </c>
      <c r="F68" s="113"/>
      <c r="G68" s="94">
        <f>VLOOKUP($A$4,Luvut!$B$3:$FG$307,160)</f>
        <v>8824565</v>
      </c>
      <c r="H68" s="94">
        <f t="shared" si="2"/>
        <v>1634.7317879586296</v>
      </c>
      <c r="I68" s="91">
        <f t="shared" si="4"/>
        <v>7.491955672882877</v>
      </c>
      <c r="J68" s="93">
        <f>VLOOKUP($A$4,Luvut!$B$3:$FM$307,164)</f>
        <v>9886108</v>
      </c>
      <c r="K68" s="94">
        <f>J68*1000/$J$6</f>
        <v>1823.1292567187277</v>
      </c>
      <c r="L68" s="91">
        <f t="shared" si="5"/>
        <v>12.02940881505208</v>
      </c>
      <c r="N68" s="171" t="s">
        <v>322</v>
      </c>
      <c r="O68" s="171" t="s">
        <v>322</v>
      </c>
    </row>
    <row r="69" spans="1:15" ht="12.75">
      <c r="A69" s="141" t="s">
        <v>360</v>
      </c>
      <c r="B69" s="142"/>
      <c r="C69" s="143"/>
      <c r="D69" s="93">
        <f>VLOOKUP($A$4,Luvut!$B$3:$FG$307,157)</f>
        <v>2738111</v>
      </c>
      <c r="E69" s="94">
        <f t="shared" si="0"/>
        <v>509.61387240031615</v>
      </c>
      <c r="F69" s="113"/>
      <c r="G69" s="94">
        <f>VLOOKUP($A$4,Luvut!$B$3:$FG$307,161)</f>
        <v>3387881</v>
      </c>
      <c r="H69" s="94">
        <f t="shared" si="2"/>
        <v>627.5977075947733</v>
      </c>
      <c r="I69" s="91">
        <f t="shared" si="4"/>
        <v>23.73059382910334</v>
      </c>
      <c r="J69" s="93">
        <f>VLOOKUP($A$4,Luvut!$B$3:$FM$307,165)</f>
        <v>3900735</v>
      </c>
      <c r="K69" s="94">
        <f>J69*1000/$J$6</f>
        <v>719.3471992422828</v>
      </c>
      <c r="L69" s="91">
        <f t="shared" si="5"/>
        <v>15.137898881336142</v>
      </c>
      <c r="N69" s="171" t="s">
        <v>322</v>
      </c>
      <c r="O69" s="171" t="s">
        <v>322</v>
      </c>
    </row>
    <row r="70" spans="1:15" ht="12.75">
      <c r="A70" s="141" t="s">
        <v>362</v>
      </c>
      <c r="B70" s="142"/>
      <c r="C70" s="143"/>
      <c r="D70" s="93">
        <f>VLOOKUP($A$4,Luvut!$B$3:$FG$307,158)</f>
        <v>4351604</v>
      </c>
      <c r="E70" s="94">
        <f t="shared" si="0"/>
        <v>809.9152173132154</v>
      </c>
      <c r="F70" s="113"/>
      <c r="G70" s="94">
        <f>VLOOKUP($A$4,Luvut!$B$3:$FG$307,162)</f>
        <v>4436382</v>
      </c>
      <c r="H70" s="94">
        <f t="shared" si="2"/>
        <v>821.8302747985291</v>
      </c>
      <c r="I70" s="91">
        <f t="shared" si="4"/>
        <v>1.948201169040198</v>
      </c>
      <c r="J70" s="93">
        <f>VLOOKUP($A$4,Luvut!$B$3:$FM$307,166)</f>
        <v>4288514</v>
      </c>
      <c r="K70" s="94">
        <f>J70*1000/$J$6</f>
        <v>790.8587829758544</v>
      </c>
      <c r="L70" s="91">
        <f t="shared" si="5"/>
        <v>-3.333076367183885</v>
      </c>
      <c r="N70" s="171" t="s">
        <v>322</v>
      </c>
      <c r="O70" s="171" t="s">
        <v>322</v>
      </c>
    </row>
    <row r="71" spans="1:12" ht="12.75">
      <c r="A71" s="21"/>
      <c r="B71" s="33"/>
      <c r="C71" s="122"/>
      <c r="D71" s="53"/>
      <c r="E71" s="12"/>
      <c r="F71" s="51"/>
      <c r="G71" s="12"/>
      <c r="H71" s="33"/>
      <c r="I71" s="51"/>
      <c r="J71" s="53"/>
      <c r="K71" s="33"/>
      <c r="L71" s="51"/>
    </row>
    <row r="72" spans="1:15" s="86" customFormat="1" ht="12.75">
      <c r="A72" s="46" t="s">
        <v>329</v>
      </c>
      <c r="B72" s="126"/>
      <c r="C72" s="45"/>
      <c r="D72" s="128">
        <f>VLOOKUP($A$4,Luvut!$B$3:$AT$307,43)</f>
        <v>19.18</v>
      </c>
      <c r="E72" s="129" t="s">
        <v>322</v>
      </c>
      <c r="F72" s="130"/>
      <c r="G72" s="131">
        <f>VLOOKUP($A$4,Luvut!$B$3:$ED$307,87)</f>
        <v>19.26</v>
      </c>
      <c r="H72" s="44" t="s">
        <v>322</v>
      </c>
      <c r="I72" s="130"/>
      <c r="J72" s="128">
        <f>VLOOKUP($A$4,Luvut!$B$3:$ED$307,131)</f>
        <v>19.4</v>
      </c>
      <c r="K72" s="44" t="s">
        <v>322</v>
      </c>
      <c r="L72" s="130"/>
      <c r="M72" s="28"/>
      <c r="N72" s="172"/>
      <c r="O72" s="172"/>
    </row>
    <row r="73" spans="1:14" ht="12.75">
      <c r="A73" s="21" t="s">
        <v>327</v>
      </c>
      <c r="B73" s="33"/>
      <c r="C73" s="122"/>
      <c r="D73" s="53">
        <f>D63/D72</f>
        <v>840868.9259645464</v>
      </c>
      <c r="E73" s="12">
        <f>D73*1000/$D$6</f>
        <v>156.50149666755192</v>
      </c>
      <c r="F73" s="51"/>
      <c r="G73" s="12">
        <f>G63/G72</f>
        <v>869907.2170301141</v>
      </c>
      <c r="H73" s="12">
        <f>G73*1000/$G$6</f>
        <v>161.1484509722297</v>
      </c>
      <c r="I73" s="51"/>
      <c r="J73" s="53">
        <f>J63/J72</f>
        <v>921706.4948453609</v>
      </c>
      <c r="K73" s="12">
        <f>J73*1000/$J$6</f>
        <v>169.9748856537119</v>
      </c>
      <c r="L73" s="51"/>
      <c r="M73" s="16"/>
      <c r="N73" s="173"/>
    </row>
    <row r="74" spans="1:13" ht="12.75">
      <c r="A74" s="52"/>
      <c r="B74" s="33"/>
      <c r="C74" s="122"/>
      <c r="D74" s="53" t="s">
        <v>322</v>
      </c>
      <c r="E74" s="12" t="s">
        <v>322</v>
      </c>
      <c r="F74" s="51"/>
      <c r="G74" s="12" t="s">
        <v>322</v>
      </c>
      <c r="H74" s="33"/>
      <c r="I74" s="51"/>
      <c r="J74" s="53"/>
      <c r="K74" s="33"/>
      <c r="L74" s="51"/>
      <c r="M74" s="16"/>
    </row>
    <row r="75" spans="1:15" ht="12.75">
      <c r="A75" s="21" t="s">
        <v>378</v>
      </c>
      <c r="B75" s="33"/>
      <c r="C75" s="122"/>
      <c r="D75" s="53" t="str">
        <f>VLOOKUP($A$4,Luvut!$B$3:$AT$307,45)</f>
        <v>-</v>
      </c>
      <c r="E75" s="12"/>
      <c r="F75" s="51"/>
      <c r="G75" s="12" t="str">
        <f>VLOOKUP($A$4,Luvut!$B$3:$ED$307,89)</f>
        <v>-</v>
      </c>
      <c r="H75" s="50"/>
      <c r="I75" s="51"/>
      <c r="J75" s="53">
        <f>VLOOKUP($A$4,Luvut!$B$3:$ED$307,133)</f>
        <v>0</v>
      </c>
      <c r="K75" s="50"/>
      <c r="L75" s="51"/>
      <c r="M75" s="16"/>
      <c r="N75" s="173"/>
      <c r="O75" s="173"/>
    </row>
    <row r="76" spans="1:15" s="76" customFormat="1" ht="12" thickBot="1">
      <c r="A76" s="77" t="s">
        <v>346</v>
      </c>
      <c r="B76" s="78"/>
      <c r="C76" s="123"/>
      <c r="D76" s="77"/>
      <c r="E76" s="78"/>
      <c r="F76" s="79"/>
      <c r="G76" s="78"/>
      <c r="H76" s="78"/>
      <c r="I76" s="79"/>
      <c r="J76" s="77"/>
      <c r="K76" s="78"/>
      <c r="L76" s="79"/>
      <c r="N76" s="174"/>
      <c r="O76" s="174"/>
    </row>
    <row r="77" ht="12.75">
      <c r="G77" s="2"/>
    </row>
    <row r="78" spans="1:7" ht="12.75">
      <c r="A78" s="8" t="s">
        <v>388</v>
      </c>
      <c r="B78" s="4"/>
      <c r="C78" s="5"/>
      <c r="D78" s="4"/>
      <c r="E78" s="7"/>
      <c r="F78" s="7"/>
      <c r="G78" s="6"/>
    </row>
    <row r="79" spans="1:7" ht="12.75">
      <c r="A79" s="8" t="s">
        <v>415</v>
      </c>
      <c r="B79" s="3"/>
      <c r="C79" s="10"/>
      <c r="D79" s="3"/>
      <c r="E79" s="6"/>
      <c r="F79" s="6"/>
      <c r="G79" s="6"/>
    </row>
    <row r="80" spans="1:7" ht="12.75">
      <c r="A80" s="3"/>
      <c r="B80" s="3"/>
      <c r="C80" s="10"/>
      <c r="D80" s="3"/>
      <c r="E80" s="6"/>
      <c r="F80" s="6"/>
      <c r="G80" s="6"/>
    </row>
    <row r="81" spans="1:7" ht="12.75">
      <c r="A81" s="4"/>
      <c r="B81" s="4"/>
      <c r="C81" s="5"/>
      <c r="D81" s="7"/>
      <c r="E81" s="7"/>
      <c r="F81" s="7"/>
      <c r="G81" s="7"/>
    </row>
    <row r="82" spans="1:7" ht="12.75">
      <c r="A82" s="4"/>
      <c r="B82" s="4"/>
      <c r="C82" s="5"/>
      <c r="D82" s="4"/>
      <c r="E82" s="7"/>
      <c r="F82" s="7"/>
      <c r="G82" s="7"/>
    </row>
    <row r="83" spans="1:7" ht="12.75">
      <c r="A83" s="3"/>
      <c r="B83" s="3"/>
      <c r="C83" s="10"/>
      <c r="D83" s="3"/>
      <c r="E83" s="6"/>
      <c r="F83" s="6"/>
      <c r="G83" s="6"/>
    </row>
    <row r="84" spans="1:7" ht="12.75">
      <c r="A84" s="3"/>
      <c r="B84" s="3"/>
      <c r="C84" s="10"/>
      <c r="D84" s="3"/>
      <c r="E84" s="6"/>
      <c r="F84" s="6"/>
      <c r="G84" s="6"/>
    </row>
    <row r="85" spans="1:7" ht="12.75">
      <c r="A85" s="4"/>
      <c r="B85" s="4"/>
      <c r="C85" s="5"/>
      <c r="D85" s="4"/>
      <c r="E85" s="7"/>
      <c r="F85" s="7"/>
      <c r="G85" s="7"/>
    </row>
    <row r="86" spans="1:7" ht="12.75">
      <c r="A86" s="4"/>
      <c r="B86" s="4"/>
      <c r="C86" s="5"/>
      <c r="D86" s="4"/>
      <c r="E86" s="7"/>
      <c r="F86" s="7"/>
      <c r="G86" s="7"/>
    </row>
    <row r="87" spans="1:7" ht="12.75">
      <c r="A87" s="3"/>
      <c r="B87" s="3"/>
      <c r="C87" s="10"/>
      <c r="D87" s="3"/>
      <c r="E87" s="6"/>
      <c r="F87" s="6"/>
      <c r="G87" s="6"/>
    </row>
    <row r="88" spans="1:7" ht="12.75">
      <c r="A88" s="3"/>
      <c r="B88" s="3"/>
      <c r="C88" s="10"/>
      <c r="D88" s="3"/>
      <c r="E88" s="6"/>
      <c r="F88" s="6"/>
      <c r="G88" s="6"/>
    </row>
    <row r="89" spans="1:7" ht="12.75">
      <c r="A89" s="3"/>
      <c r="B89" s="3"/>
      <c r="C89" s="10"/>
      <c r="D89" s="3"/>
      <c r="E89" s="6"/>
      <c r="F89" s="6"/>
      <c r="G89" s="6"/>
    </row>
    <row r="90" spans="1:7" ht="12.75">
      <c r="A90" s="4"/>
      <c r="B90" s="4"/>
      <c r="C90" s="5"/>
      <c r="D90" s="4"/>
      <c r="E90" s="7"/>
      <c r="F90" s="7"/>
      <c r="G90" s="7"/>
    </row>
  </sheetData>
  <sheetProtection/>
  <mergeCells count="1">
    <mergeCell ref="G2:H2"/>
  </mergeCells>
  <printOptions/>
  <pageMargins left="0.3937007874015748" right="0.3937007874015748" top="0.5118110236220472" bottom="0.5118110236220472" header="0.5118110236220472" footer="0.5511811023622047"/>
  <pageSetup horizontalDpi="600" verticalDpi="600"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FW32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" sqref="C1"/>
    </sheetView>
  </sheetViews>
  <sheetFormatPr defaultColWidth="9.140625" defaultRowHeight="12.75"/>
  <cols>
    <col min="1" max="1" width="4.00390625" style="82" customWidth="1"/>
    <col min="2" max="2" width="26.00390625" style="1" customWidth="1"/>
    <col min="3" max="4" width="9.140625" style="138" customWidth="1"/>
    <col min="5" max="5" width="10.00390625" style="150" bestFit="1" customWidth="1"/>
    <col min="6" max="6" width="10.00390625" style="138" bestFit="1" customWidth="1"/>
    <col min="7" max="7" width="9.140625" style="138" customWidth="1"/>
    <col min="8" max="10" width="8.00390625" style="149" customWidth="1"/>
    <col min="11" max="12" width="9.140625" style="138" customWidth="1"/>
    <col min="13" max="13" width="9.140625" style="149" customWidth="1"/>
    <col min="14" max="17" width="9.140625" style="138" customWidth="1"/>
    <col min="18" max="18" width="11.00390625" style="138" customWidth="1"/>
    <col min="19" max="19" width="10.28125" style="138" customWidth="1"/>
    <col min="20" max="20" width="9.140625" style="138" customWidth="1"/>
    <col min="21" max="21" width="9.140625" style="159" customWidth="1"/>
    <col min="22" max="22" width="9.140625" style="149" customWidth="1"/>
    <col min="23" max="33" width="9.140625" style="138" customWidth="1"/>
    <col min="34" max="34" width="9.140625" style="158" customWidth="1"/>
    <col min="35" max="35" width="9.140625" style="138" customWidth="1"/>
    <col min="36" max="36" width="9.140625" style="149" customWidth="1"/>
    <col min="37" max="37" width="9.140625" style="138" customWidth="1"/>
    <col min="38" max="38" width="14.28125" style="138" customWidth="1"/>
    <col min="39" max="44" width="9.140625" style="138" customWidth="1"/>
    <col min="45" max="45" width="9.140625" style="149" customWidth="1"/>
    <col min="46" max="46" width="21.00390625" style="138" bestFit="1" customWidth="1"/>
    <col min="47" max="48" width="9.140625" style="138" customWidth="1"/>
    <col min="49" max="49" width="10.00390625" style="150" bestFit="1" customWidth="1"/>
    <col min="50" max="50" width="10.00390625" style="138" bestFit="1" customWidth="1"/>
    <col min="51" max="51" width="9.140625" style="138" customWidth="1"/>
    <col min="52" max="54" width="8.00390625" style="149" customWidth="1"/>
    <col min="55" max="56" width="9.140625" style="138" customWidth="1"/>
    <col min="57" max="57" width="9.140625" style="149" customWidth="1"/>
    <col min="58" max="61" width="9.140625" style="138" customWidth="1"/>
    <col min="62" max="62" width="11.00390625" style="138" customWidth="1"/>
    <col min="63" max="63" width="10.28125" style="138" customWidth="1"/>
    <col min="64" max="64" width="9.140625" style="147" customWidth="1"/>
    <col min="65" max="65" width="9.140625" style="159" customWidth="1"/>
    <col min="66" max="66" width="9.140625" style="149" customWidth="1"/>
    <col min="67" max="72" width="9.140625" style="138" customWidth="1"/>
    <col min="73" max="73" width="11.57421875" style="138" customWidth="1"/>
    <col min="74" max="77" width="9.140625" style="138" customWidth="1"/>
    <col min="78" max="78" width="9.140625" style="158" customWidth="1"/>
    <col min="79" max="79" width="9.140625" style="138" customWidth="1"/>
    <col min="80" max="80" width="9.140625" style="149" customWidth="1"/>
    <col min="81" max="81" width="9.140625" style="138" customWidth="1"/>
    <col min="82" max="82" width="14.28125" style="138" customWidth="1"/>
    <col min="83" max="88" width="9.140625" style="138" customWidth="1"/>
    <col min="89" max="89" width="9.140625" style="149" customWidth="1"/>
    <col min="90" max="90" width="21.00390625" style="138" bestFit="1" customWidth="1"/>
    <col min="91" max="92" width="9.140625" style="138" customWidth="1"/>
    <col min="93" max="93" width="10.00390625" style="150" bestFit="1" customWidth="1"/>
    <col min="94" max="94" width="10.00390625" style="138" bestFit="1" customWidth="1"/>
    <col min="95" max="95" width="9.140625" style="138" customWidth="1"/>
    <col min="96" max="98" width="8.00390625" style="149" customWidth="1"/>
    <col min="99" max="100" width="9.140625" style="138" customWidth="1"/>
    <col min="101" max="101" width="9.140625" style="149" customWidth="1"/>
    <col min="102" max="105" width="9.140625" style="138" customWidth="1"/>
    <col min="106" max="106" width="11.00390625" style="138" customWidth="1"/>
    <col min="107" max="107" width="10.28125" style="138" customWidth="1"/>
    <col min="108" max="108" width="9.140625" style="147" customWidth="1"/>
    <col min="109" max="109" width="9.140625" style="159" customWidth="1"/>
    <col min="110" max="110" width="9.140625" style="149" customWidth="1"/>
    <col min="111" max="116" width="9.140625" style="138" customWidth="1"/>
    <col min="117" max="117" width="11.57421875" style="138" customWidth="1"/>
    <col min="118" max="121" width="9.140625" style="138" customWidth="1"/>
    <col min="122" max="122" width="9.140625" style="158" customWidth="1"/>
    <col min="123" max="123" width="9.140625" style="138" customWidth="1"/>
    <col min="124" max="124" width="9.140625" style="149" customWidth="1"/>
    <col min="125" max="125" width="9.140625" style="138" customWidth="1"/>
    <col min="126" max="126" width="14.28125" style="138" customWidth="1"/>
    <col min="127" max="132" width="9.140625" style="138" customWidth="1"/>
    <col min="133" max="133" width="9.140625" style="149" customWidth="1"/>
    <col min="134" max="134" width="21.00390625" style="138" bestFit="1" customWidth="1"/>
    <col min="135" max="135" width="17.7109375" style="157" customWidth="1"/>
    <col min="136" max="137" width="17.7109375" style="138" bestFit="1" customWidth="1"/>
    <col min="138" max="139" width="9.8515625" style="142" customWidth="1"/>
    <col min="140" max="140" width="10.140625" style="142" customWidth="1"/>
    <col min="141" max="141" width="13.57421875" style="142" bestFit="1" customWidth="1"/>
    <col min="142" max="142" width="24.57421875" style="142" bestFit="1" customWidth="1"/>
    <col min="143" max="143" width="25.28125" style="142" bestFit="1" customWidth="1"/>
    <col min="144" max="144" width="13.57421875" style="145" bestFit="1" customWidth="1"/>
    <col min="145" max="145" width="28.140625" style="145" bestFit="1" customWidth="1"/>
    <col min="146" max="146" width="28.7109375" style="145" bestFit="1" customWidth="1"/>
    <col min="147" max="147" width="13.57421875" style="138" bestFit="1" customWidth="1"/>
    <col min="148" max="148" width="28.140625" style="138" bestFit="1" customWidth="1"/>
    <col min="149" max="149" width="28.7109375" style="138" bestFit="1" customWidth="1"/>
    <col min="150" max="150" width="20.421875" style="142" bestFit="1" customWidth="1"/>
    <col min="151" max="151" width="24.00390625" style="142" bestFit="1" customWidth="1"/>
    <col min="152" max="152" width="20.421875" style="163" bestFit="1" customWidth="1"/>
    <col min="153" max="153" width="24.00390625" style="163" bestFit="1" customWidth="1"/>
    <col min="154" max="154" width="20.421875" style="163" bestFit="1" customWidth="1"/>
    <col min="155" max="155" width="24.00390625" style="163" bestFit="1" customWidth="1"/>
    <col min="156" max="156" width="8.421875" style="138" bestFit="1" customWidth="1"/>
    <col min="157" max="157" width="9.7109375" style="138" bestFit="1" customWidth="1"/>
    <col min="158" max="158" width="9.8515625" style="138" bestFit="1" customWidth="1"/>
    <col min="159" max="159" width="10.8515625" style="138" bestFit="1" customWidth="1"/>
    <col min="160" max="166" width="9.140625" style="138" customWidth="1"/>
    <col min="167" max="167" width="10.8515625" style="138" bestFit="1" customWidth="1"/>
    <col min="168" max="168" width="9.140625" style="142" customWidth="1"/>
    <col min="169" max="169" width="14.28125" style="164" bestFit="1" customWidth="1"/>
    <col min="170" max="170" width="14.28125" style="147" bestFit="1" customWidth="1"/>
    <col min="171" max="171" width="11.8515625" style="180" bestFit="1" customWidth="1"/>
    <col min="172" max="172" width="11.8515625" style="3" bestFit="1" customWidth="1"/>
  </cols>
  <sheetData>
    <row r="1" spans="3:172" ht="15.75">
      <c r="C1" s="189">
        <v>2011</v>
      </c>
      <c r="D1" s="149" t="s">
        <v>391</v>
      </c>
      <c r="E1" s="151">
        <v>92</v>
      </c>
      <c r="F1" s="138">
        <v>93</v>
      </c>
      <c r="G1" s="151">
        <v>94</v>
      </c>
      <c r="H1" s="149" t="s">
        <v>394</v>
      </c>
      <c r="I1" s="152">
        <v>96</v>
      </c>
      <c r="J1" s="149">
        <v>97</v>
      </c>
      <c r="K1" s="151">
        <v>98</v>
      </c>
      <c r="L1" s="138">
        <v>99</v>
      </c>
      <c r="M1" s="151">
        <v>100</v>
      </c>
      <c r="N1" s="138">
        <v>101</v>
      </c>
      <c r="O1" s="151">
        <v>102</v>
      </c>
      <c r="P1" s="138">
        <v>103</v>
      </c>
      <c r="Q1" s="151">
        <v>104</v>
      </c>
      <c r="R1" s="138">
        <v>105</v>
      </c>
      <c r="S1" s="151">
        <v>106</v>
      </c>
      <c r="T1" s="138">
        <v>107</v>
      </c>
      <c r="U1" s="151">
        <v>108</v>
      </c>
      <c r="V1" s="149" t="s">
        <v>392</v>
      </c>
      <c r="W1" s="151">
        <v>110</v>
      </c>
      <c r="X1" s="138">
        <v>111</v>
      </c>
      <c r="Y1" s="151">
        <v>112</v>
      </c>
      <c r="Z1" s="138">
        <v>113</v>
      </c>
      <c r="AA1" s="151">
        <v>114</v>
      </c>
      <c r="AB1" s="138">
        <v>115</v>
      </c>
      <c r="AC1" s="151">
        <v>116</v>
      </c>
      <c r="AD1" s="138">
        <v>117</v>
      </c>
      <c r="AE1" s="151">
        <v>118</v>
      </c>
      <c r="AF1" s="138">
        <v>119</v>
      </c>
      <c r="AG1" s="151">
        <v>120</v>
      </c>
      <c r="AH1" s="138">
        <v>121</v>
      </c>
      <c r="AI1" s="151">
        <v>122</v>
      </c>
      <c r="AJ1" s="149" t="s">
        <v>393</v>
      </c>
      <c r="AK1" s="151">
        <v>124</v>
      </c>
      <c r="AL1" s="138">
        <v>125</v>
      </c>
      <c r="AM1" s="151">
        <v>126</v>
      </c>
      <c r="AN1" s="138">
        <v>127</v>
      </c>
      <c r="AO1" s="151">
        <v>128</v>
      </c>
      <c r="AP1" s="138">
        <v>129</v>
      </c>
      <c r="AQ1" s="151">
        <v>130</v>
      </c>
      <c r="AR1" s="138">
        <v>131</v>
      </c>
      <c r="AS1" s="152" t="s">
        <v>393</v>
      </c>
      <c r="AT1" s="138">
        <v>133</v>
      </c>
      <c r="AU1" s="189">
        <v>2012</v>
      </c>
      <c r="AV1" s="149" t="s">
        <v>391</v>
      </c>
      <c r="AW1" s="151">
        <v>92</v>
      </c>
      <c r="AX1" s="138">
        <v>93</v>
      </c>
      <c r="AY1" s="151">
        <v>94</v>
      </c>
      <c r="AZ1" s="149" t="s">
        <v>394</v>
      </c>
      <c r="BA1" s="152">
        <v>96</v>
      </c>
      <c r="BB1" s="149">
        <v>97</v>
      </c>
      <c r="BC1" s="151">
        <v>98</v>
      </c>
      <c r="BD1" s="138">
        <v>99</v>
      </c>
      <c r="BE1" s="151">
        <v>100</v>
      </c>
      <c r="BF1" s="138">
        <v>101</v>
      </c>
      <c r="BG1" s="151">
        <v>102</v>
      </c>
      <c r="BH1" s="138">
        <v>103</v>
      </c>
      <c r="BI1" s="151">
        <v>104</v>
      </c>
      <c r="BJ1" s="138">
        <v>105</v>
      </c>
      <c r="BK1" s="151">
        <v>106</v>
      </c>
      <c r="BL1" s="147">
        <v>107</v>
      </c>
      <c r="BM1" s="151">
        <v>108</v>
      </c>
      <c r="BN1" s="149" t="s">
        <v>392</v>
      </c>
      <c r="BO1" s="151">
        <v>110</v>
      </c>
      <c r="BP1" s="138">
        <v>111</v>
      </c>
      <c r="BQ1" s="151">
        <v>112</v>
      </c>
      <c r="BR1" s="138">
        <v>113</v>
      </c>
      <c r="BS1" s="151">
        <v>114</v>
      </c>
      <c r="BT1" s="138">
        <v>115</v>
      </c>
      <c r="BU1" s="151">
        <v>116</v>
      </c>
      <c r="BV1" s="138">
        <v>117</v>
      </c>
      <c r="BW1" s="151">
        <v>118</v>
      </c>
      <c r="BX1" s="138">
        <v>119</v>
      </c>
      <c r="BY1" s="151">
        <v>120</v>
      </c>
      <c r="BZ1" s="138">
        <v>121</v>
      </c>
      <c r="CA1" s="151">
        <v>122</v>
      </c>
      <c r="CB1" s="149" t="s">
        <v>393</v>
      </c>
      <c r="CC1" s="151">
        <v>124</v>
      </c>
      <c r="CD1" s="138">
        <v>125</v>
      </c>
      <c r="CE1" s="151">
        <v>126</v>
      </c>
      <c r="CF1" s="138">
        <v>127</v>
      </c>
      <c r="CG1" s="151">
        <v>128</v>
      </c>
      <c r="CH1" s="138">
        <v>129</v>
      </c>
      <c r="CI1" s="151">
        <v>130</v>
      </c>
      <c r="CJ1" s="138">
        <v>131</v>
      </c>
      <c r="CK1" s="152" t="s">
        <v>393</v>
      </c>
      <c r="CL1" s="138">
        <v>133</v>
      </c>
      <c r="CM1" s="189">
        <v>2013</v>
      </c>
      <c r="CN1" s="149" t="s">
        <v>391</v>
      </c>
      <c r="CO1" s="151">
        <v>92</v>
      </c>
      <c r="CP1" s="138">
        <v>93</v>
      </c>
      <c r="CQ1" s="151">
        <v>94</v>
      </c>
      <c r="CR1" s="149" t="s">
        <v>394</v>
      </c>
      <c r="CS1" s="152">
        <v>96</v>
      </c>
      <c r="CT1" s="149">
        <v>97</v>
      </c>
      <c r="CU1" s="151">
        <v>98</v>
      </c>
      <c r="CV1" s="138">
        <v>99</v>
      </c>
      <c r="CW1" s="151">
        <v>100</v>
      </c>
      <c r="CX1" s="138">
        <v>101</v>
      </c>
      <c r="CY1" s="151">
        <v>102</v>
      </c>
      <c r="CZ1" s="138">
        <v>103</v>
      </c>
      <c r="DA1" s="151">
        <v>104</v>
      </c>
      <c r="DB1" s="138">
        <v>105</v>
      </c>
      <c r="DC1" s="151">
        <v>106</v>
      </c>
      <c r="DD1" s="147">
        <v>107</v>
      </c>
      <c r="DE1" s="151">
        <v>108</v>
      </c>
      <c r="DF1" s="149" t="s">
        <v>392</v>
      </c>
      <c r="DG1" s="151">
        <v>110</v>
      </c>
      <c r="DH1" s="138">
        <v>111</v>
      </c>
      <c r="DI1" s="151">
        <v>112</v>
      </c>
      <c r="DJ1" s="138">
        <v>113</v>
      </c>
      <c r="DK1" s="151">
        <v>114</v>
      </c>
      <c r="DL1" s="138">
        <v>115</v>
      </c>
      <c r="DM1" s="151">
        <v>116</v>
      </c>
      <c r="DN1" s="138">
        <v>117</v>
      </c>
      <c r="DO1" s="151">
        <v>118</v>
      </c>
      <c r="DP1" s="138">
        <v>119</v>
      </c>
      <c r="DQ1" s="151">
        <v>120</v>
      </c>
      <c r="DR1" s="138">
        <v>121</v>
      </c>
      <c r="DS1" s="151">
        <v>122</v>
      </c>
      <c r="DT1" s="149" t="s">
        <v>393</v>
      </c>
      <c r="DU1" s="151">
        <v>124</v>
      </c>
      <c r="DV1" s="138">
        <v>125</v>
      </c>
      <c r="DW1" s="151">
        <v>126</v>
      </c>
      <c r="DX1" s="138">
        <v>127</v>
      </c>
      <c r="DY1" s="151">
        <v>128</v>
      </c>
      <c r="DZ1" s="138">
        <v>129</v>
      </c>
      <c r="EA1" s="151">
        <v>130</v>
      </c>
      <c r="EB1" s="138">
        <v>131</v>
      </c>
      <c r="EC1" s="152" t="s">
        <v>393</v>
      </c>
      <c r="ED1" s="138">
        <v>133</v>
      </c>
      <c r="EE1" s="175" t="s">
        <v>390</v>
      </c>
      <c r="EF1" s="138">
        <v>135</v>
      </c>
      <c r="EG1" s="138">
        <v>136</v>
      </c>
      <c r="EH1" s="138">
        <v>137</v>
      </c>
      <c r="EI1" s="138">
        <v>138</v>
      </c>
      <c r="EJ1" s="138">
        <v>139</v>
      </c>
      <c r="EK1" s="140">
        <v>2011</v>
      </c>
      <c r="EL1" s="138">
        <v>144</v>
      </c>
      <c r="EM1" s="138">
        <v>145</v>
      </c>
      <c r="EN1" s="140">
        <v>2012</v>
      </c>
      <c r="EO1" s="138">
        <v>147</v>
      </c>
      <c r="EP1" s="138">
        <v>148</v>
      </c>
      <c r="EQ1" s="140">
        <v>2013</v>
      </c>
      <c r="ER1" s="138">
        <v>147</v>
      </c>
      <c r="ES1" s="138">
        <v>148</v>
      </c>
      <c r="ET1" s="178">
        <v>2011</v>
      </c>
      <c r="EU1" s="144">
        <v>152</v>
      </c>
      <c r="EV1" s="178">
        <v>2012</v>
      </c>
      <c r="EW1" s="144">
        <v>154</v>
      </c>
      <c r="EX1" s="178">
        <v>2013</v>
      </c>
      <c r="EY1" s="144"/>
      <c r="EZ1" s="140">
        <v>2011</v>
      </c>
      <c r="FA1" s="138">
        <v>160</v>
      </c>
      <c r="FB1" s="138">
        <v>161</v>
      </c>
      <c r="FC1" s="138">
        <v>162</v>
      </c>
      <c r="FD1" s="140">
        <v>2012</v>
      </c>
      <c r="FE1" s="138">
        <v>164</v>
      </c>
      <c r="FF1" s="138">
        <v>165</v>
      </c>
      <c r="FG1" s="138">
        <v>166</v>
      </c>
      <c r="FH1" s="140">
        <v>2013</v>
      </c>
      <c r="FI1" s="138">
        <v>164</v>
      </c>
      <c r="FJ1" s="138">
        <v>165</v>
      </c>
      <c r="FK1" s="138">
        <v>166</v>
      </c>
      <c r="FL1" s="186">
        <v>2011</v>
      </c>
      <c r="FM1" s="186">
        <v>2012</v>
      </c>
      <c r="FN1" s="186">
        <v>2013</v>
      </c>
      <c r="FO1" s="182" t="s">
        <v>401</v>
      </c>
      <c r="FP1" s="138" t="s">
        <v>401</v>
      </c>
    </row>
    <row r="2" spans="1:172" s="2" customFormat="1" ht="12.75">
      <c r="A2" s="82" t="s">
        <v>367</v>
      </c>
      <c r="B2" s="2" t="s">
        <v>0</v>
      </c>
      <c r="C2" s="189" t="s">
        <v>414</v>
      </c>
      <c r="D2" s="149" t="s">
        <v>336</v>
      </c>
      <c r="E2" s="150" t="s">
        <v>316</v>
      </c>
      <c r="F2" s="138" t="s">
        <v>317</v>
      </c>
      <c r="G2" s="138" t="s">
        <v>366</v>
      </c>
      <c r="H2" s="149" t="s">
        <v>303</v>
      </c>
      <c r="I2" s="149" t="s">
        <v>318</v>
      </c>
      <c r="J2" s="149" t="s">
        <v>304</v>
      </c>
      <c r="K2" s="138" t="s">
        <v>342</v>
      </c>
      <c r="L2" s="138" t="s">
        <v>373</v>
      </c>
      <c r="M2" s="138" t="s">
        <v>315</v>
      </c>
      <c r="N2" s="138" t="s">
        <v>343</v>
      </c>
      <c r="O2" s="138" t="s">
        <v>338</v>
      </c>
      <c r="P2" s="138" t="s">
        <v>297</v>
      </c>
      <c r="Q2" s="138" t="s">
        <v>298</v>
      </c>
      <c r="R2" s="138" t="s">
        <v>299</v>
      </c>
      <c r="S2" s="138" t="s">
        <v>300</v>
      </c>
      <c r="T2" s="138" t="s">
        <v>301</v>
      </c>
      <c r="U2" s="159" t="s">
        <v>296</v>
      </c>
      <c r="V2" s="149" t="s">
        <v>302</v>
      </c>
      <c r="W2" s="138" t="s">
        <v>314</v>
      </c>
      <c r="X2" s="138" t="s">
        <v>369</v>
      </c>
      <c r="Y2" s="138" t="s">
        <v>303</v>
      </c>
      <c r="Z2" s="138" t="s">
        <v>341</v>
      </c>
      <c r="AA2" s="138" t="s">
        <v>320</v>
      </c>
      <c r="AB2" s="138" t="s">
        <v>321</v>
      </c>
      <c r="AC2" s="138" t="s">
        <v>304</v>
      </c>
      <c r="AD2" s="138" t="s">
        <v>305</v>
      </c>
      <c r="AE2" s="138" t="s">
        <v>306</v>
      </c>
      <c r="AF2" s="138" t="s">
        <v>307</v>
      </c>
      <c r="AG2" s="138" t="s">
        <v>308</v>
      </c>
      <c r="AH2" s="138" t="s">
        <v>368</v>
      </c>
      <c r="AI2" s="138" t="s">
        <v>374</v>
      </c>
      <c r="AJ2" s="149" t="s">
        <v>312</v>
      </c>
      <c r="AK2" s="138" t="s">
        <v>370</v>
      </c>
      <c r="AL2" s="138" t="s">
        <v>311</v>
      </c>
      <c r="AM2" s="138" t="s">
        <v>371</v>
      </c>
      <c r="AN2" s="138" t="s">
        <v>300</v>
      </c>
      <c r="AO2" s="138" t="s">
        <v>323</v>
      </c>
      <c r="AP2" s="138" t="s">
        <v>330</v>
      </c>
      <c r="AQ2" s="138" t="s">
        <v>325</v>
      </c>
      <c r="AR2" s="138" t="s">
        <v>364</v>
      </c>
      <c r="AS2" s="149" t="s">
        <v>348</v>
      </c>
      <c r="AT2" s="138" t="s">
        <v>328</v>
      </c>
      <c r="AU2" s="189" t="s">
        <v>414</v>
      </c>
      <c r="AV2" s="149" t="s">
        <v>336</v>
      </c>
      <c r="AW2" s="150" t="s">
        <v>316</v>
      </c>
      <c r="AX2" s="138" t="s">
        <v>317</v>
      </c>
      <c r="AY2" s="138" t="s">
        <v>366</v>
      </c>
      <c r="AZ2" s="149" t="s">
        <v>303</v>
      </c>
      <c r="BA2" s="149" t="s">
        <v>318</v>
      </c>
      <c r="BB2" s="149" t="s">
        <v>304</v>
      </c>
      <c r="BC2" s="138" t="s">
        <v>342</v>
      </c>
      <c r="BD2" s="138" t="s">
        <v>373</v>
      </c>
      <c r="BE2" s="138" t="s">
        <v>315</v>
      </c>
      <c r="BF2" s="138" t="s">
        <v>343</v>
      </c>
      <c r="BG2" s="138" t="s">
        <v>338</v>
      </c>
      <c r="BH2" s="138" t="s">
        <v>297</v>
      </c>
      <c r="BI2" s="138" t="s">
        <v>298</v>
      </c>
      <c r="BJ2" s="138" t="s">
        <v>299</v>
      </c>
      <c r="BK2" s="138" t="s">
        <v>300</v>
      </c>
      <c r="BL2" s="147" t="s">
        <v>301</v>
      </c>
      <c r="BM2" s="159" t="s">
        <v>296</v>
      </c>
      <c r="BN2" s="149" t="s">
        <v>302</v>
      </c>
      <c r="BO2" s="138" t="s">
        <v>314</v>
      </c>
      <c r="BP2" s="138" t="s">
        <v>369</v>
      </c>
      <c r="BQ2" s="138" t="s">
        <v>303</v>
      </c>
      <c r="BR2" s="138" t="s">
        <v>341</v>
      </c>
      <c r="BS2" s="138" t="s">
        <v>407</v>
      </c>
      <c r="BT2" s="138" t="s">
        <v>408</v>
      </c>
      <c r="BU2" s="138" t="s">
        <v>304</v>
      </c>
      <c r="BV2" s="138" t="s">
        <v>305</v>
      </c>
      <c r="BW2" s="138" t="s">
        <v>306</v>
      </c>
      <c r="BX2" s="138" t="s">
        <v>307</v>
      </c>
      <c r="BY2" s="138" t="s">
        <v>308</v>
      </c>
      <c r="BZ2" s="138" t="s">
        <v>368</v>
      </c>
      <c r="CA2" s="138" t="s">
        <v>374</v>
      </c>
      <c r="CB2" s="149" t="s">
        <v>312</v>
      </c>
      <c r="CC2" s="138" t="s">
        <v>370</v>
      </c>
      <c r="CD2" s="138" t="s">
        <v>311</v>
      </c>
      <c r="CE2" s="138" t="s">
        <v>371</v>
      </c>
      <c r="CF2" s="138" t="s">
        <v>300</v>
      </c>
      <c r="CG2" s="138" t="s">
        <v>323</v>
      </c>
      <c r="CH2" s="138" t="s">
        <v>330</v>
      </c>
      <c r="CI2" s="138" t="s">
        <v>325</v>
      </c>
      <c r="CJ2" s="138" t="s">
        <v>364</v>
      </c>
      <c r="CK2" s="149" t="s">
        <v>348</v>
      </c>
      <c r="CL2" s="138" t="s">
        <v>328</v>
      </c>
      <c r="CM2" s="189" t="s">
        <v>1</v>
      </c>
      <c r="CN2" s="149" t="s">
        <v>336</v>
      </c>
      <c r="CO2" s="150" t="s">
        <v>316</v>
      </c>
      <c r="CP2" s="138" t="s">
        <v>317</v>
      </c>
      <c r="CQ2" s="138" t="s">
        <v>366</v>
      </c>
      <c r="CR2" s="149" t="s">
        <v>303</v>
      </c>
      <c r="CS2" s="149" t="s">
        <v>318</v>
      </c>
      <c r="CT2" s="149" t="s">
        <v>304</v>
      </c>
      <c r="CU2" s="138" t="s">
        <v>342</v>
      </c>
      <c r="CV2" s="138" t="s">
        <v>373</v>
      </c>
      <c r="CW2" s="138" t="s">
        <v>315</v>
      </c>
      <c r="CX2" s="138" t="s">
        <v>343</v>
      </c>
      <c r="CY2" s="138" t="s">
        <v>338</v>
      </c>
      <c r="CZ2" s="138" t="s">
        <v>297</v>
      </c>
      <c r="DA2" s="138" t="s">
        <v>298</v>
      </c>
      <c r="DB2" s="138" t="s">
        <v>299</v>
      </c>
      <c r="DC2" s="138" t="s">
        <v>300</v>
      </c>
      <c r="DD2" s="147" t="s">
        <v>301</v>
      </c>
      <c r="DE2" s="159" t="s">
        <v>296</v>
      </c>
      <c r="DF2" s="149" t="s">
        <v>302</v>
      </c>
      <c r="DG2" s="138" t="s">
        <v>314</v>
      </c>
      <c r="DH2" s="138" t="s">
        <v>369</v>
      </c>
      <c r="DI2" s="138" t="s">
        <v>303</v>
      </c>
      <c r="DJ2" s="138" t="s">
        <v>341</v>
      </c>
      <c r="DK2" s="138" t="s">
        <v>407</v>
      </c>
      <c r="DL2" s="138" t="s">
        <v>408</v>
      </c>
      <c r="DM2" s="138" t="s">
        <v>304</v>
      </c>
      <c r="DN2" s="138" t="s">
        <v>305</v>
      </c>
      <c r="DO2" s="138" t="s">
        <v>306</v>
      </c>
      <c r="DP2" s="138" t="s">
        <v>307</v>
      </c>
      <c r="DQ2" s="138" t="s">
        <v>308</v>
      </c>
      <c r="DR2" s="138" t="s">
        <v>368</v>
      </c>
      <c r="DS2" s="138" t="s">
        <v>374</v>
      </c>
      <c r="DT2" s="149" t="s">
        <v>312</v>
      </c>
      <c r="DU2" s="138" t="s">
        <v>370</v>
      </c>
      <c r="DV2" s="138" t="s">
        <v>311</v>
      </c>
      <c r="DW2" s="138" t="s">
        <v>371</v>
      </c>
      <c r="DX2" s="138" t="s">
        <v>300</v>
      </c>
      <c r="DY2" s="138" t="s">
        <v>323</v>
      </c>
      <c r="DZ2" s="138" t="s">
        <v>330</v>
      </c>
      <c r="EA2" s="138" t="s">
        <v>325</v>
      </c>
      <c r="EB2" s="138" t="s">
        <v>364</v>
      </c>
      <c r="EC2" s="149" t="s">
        <v>348</v>
      </c>
      <c r="ED2" s="138" t="s">
        <v>328</v>
      </c>
      <c r="EE2" s="140" t="s">
        <v>398</v>
      </c>
      <c r="EF2" s="140" t="s">
        <v>404</v>
      </c>
      <c r="EG2" s="140" t="s">
        <v>411</v>
      </c>
      <c r="EH2" s="140" t="s">
        <v>399</v>
      </c>
      <c r="EI2" s="140" t="s">
        <v>405</v>
      </c>
      <c r="EJ2" s="140" t="s">
        <v>412</v>
      </c>
      <c r="EK2" s="161" t="s">
        <v>352</v>
      </c>
      <c r="EL2" s="161" t="s">
        <v>409</v>
      </c>
      <c r="EM2" s="161" t="s">
        <v>410</v>
      </c>
      <c r="EN2" s="161" t="s">
        <v>352</v>
      </c>
      <c r="EO2" s="161" t="s">
        <v>353</v>
      </c>
      <c r="EP2" s="161" t="s">
        <v>354</v>
      </c>
      <c r="EQ2" s="161" t="s">
        <v>352</v>
      </c>
      <c r="ER2" s="161" t="s">
        <v>353</v>
      </c>
      <c r="ES2" s="161" t="s">
        <v>354</v>
      </c>
      <c r="ET2" s="162" t="s">
        <v>355</v>
      </c>
      <c r="EU2" s="162" t="s">
        <v>356</v>
      </c>
      <c r="EV2" s="162" t="s">
        <v>355</v>
      </c>
      <c r="EW2" s="162" t="s">
        <v>356</v>
      </c>
      <c r="EX2" s="162" t="s">
        <v>355</v>
      </c>
      <c r="EY2" s="162" t="s">
        <v>356</v>
      </c>
      <c r="EZ2" s="132" t="s">
        <v>358</v>
      </c>
      <c r="FA2" s="132" t="s">
        <v>363</v>
      </c>
      <c r="FB2" s="132" t="s">
        <v>372</v>
      </c>
      <c r="FC2" s="132" t="s">
        <v>362</v>
      </c>
      <c r="FD2" s="132" t="s">
        <v>358</v>
      </c>
      <c r="FE2" s="132" t="s">
        <v>363</v>
      </c>
      <c r="FF2" s="132" t="s">
        <v>372</v>
      </c>
      <c r="FG2" s="132" t="s">
        <v>362</v>
      </c>
      <c r="FH2" s="132" t="s">
        <v>358</v>
      </c>
      <c r="FI2" s="132" t="s">
        <v>363</v>
      </c>
      <c r="FJ2" s="132" t="s">
        <v>372</v>
      </c>
      <c r="FK2" s="132" t="s">
        <v>362</v>
      </c>
      <c r="FL2" s="148" t="s">
        <v>365</v>
      </c>
      <c r="FM2" s="148" t="s">
        <v>365</v>
      </c>
      <c r="FN2" s="148" t="s">
        <v>365</v>
      </c>
      <c r="FO2" s="183" t="s">
        <v>400</v>
      </c>
      <c r="FP2" s="138" t="s">
        <v>402</v>
      </c>
    </row>
    <row r="3" spans="1:179" s="2" customFormat="1" ht="12.75">
      <c r="A3" s="82">
        <v>20</v>
      </c>
      <c r="B3" s="86" t="s">
        <v>349</v>
      </c>
      <c r="C3" s="190">
        <v>17091</v>
      </c>
      <c r="D3" s="147"/>
      <c r="E3" s="150">
        <v>0.7588319379211762</v>
      </c>
      <c r="F3" s="150">
        <v>44.9</v>
      </c>
      <c r="G3" s="151">
        <v>-1980</v>
      </c>
      <c r="H3" s="152"/>
      <c r="I3" s="149"/>
      <c r="J3" s="149"/>
      <c r="K3" s="150">
        <v>43.5</v>
      </c>
      <c r="L3" s="151">
        <v>212</v>
      </c>
      <c r="M3" s="151">
        <v>12</v>
      </c>
      <c r="N3" s="151">
        <v>6059.0954303434555</v>
      </c>
      <c r="O3" s="147">
        <v>47194</v>
      </c>
      <c r="P3" s="138">
        <v>25133</v>
      </c>
      <c r="Q3" s="138">
        <v>100790</v>
      </c>
      <c r="R3" s="138">
        <v>-75657</v>
      </c>
      <c r="S3" s="138">
        <v>50880</v>
      </c>
      <c r="T3" s="138">
        <v>28848</v>
      </c>
      <c r="U3" s="159"/>
      <c r="V3" s="149"/>
      <c r="W3" s="138">
        <v>-834</v>
      </c>
      <c r="X3" s="138">
        <v>252</v>
      </c>
      <c r="Y3" s="138">
        <v>3489</v>
      </c>
      <c r="Z3" s="138">
        <v>3237</v>
      </c>
      <c r="AA3" s="138"/>
      <c r="AB3" s="138"/>
      <c r="AC3" s="138">
        <v>252</v>
      </c>
      <c r="AD3" s="138">
        <v>38</v>
      </c>
      <c r="AE3" s="138"/>
      <c r="AF3" s="138"/>
      <c r="AG3" s="138">
        <v>290</v>
      </c>
      <c r="AH3" s="138">
        <v>3434</v>
      </c>
      <c r="AI3" s="138">
        <v>3014</v>
      </c>
      <c r="AJ3" s="149"/>
      <c r="AK3" s="138">
        <v>-127</v>
      </c>
      <c r="AL3" s="151">
        <v>-4670</v>
      </c>
      <c r="AM3" s="151">
        <v>-2868</v>
      </c>
      <c r="AN3" s="138">
        <v>50880</v>
      </c>
      <c r="AO3" s="138">
        <v>45886</v>
      </c>
      <c r="AP3" s="138">
        <v>2841</v>
      </c>
      <c r="AQ3" s="138">
        <v>2153</v>
      </c>
      <c r="AR3" s="153">
        <v>19.75</v>
      </c>
      <c r="AS3" s="152"/>
      <c r="AT3" s="138">
        <v>199</v>
      </c>
      <c r="AU3" s="190">
        <v>17134</v>
      </c>
      <c r="AV3" s="147"/>
      <c r="AW3" s="150">
        <v>-0.41593369418132614</v>
      </c>
      <c r="AX3" s="150">
        <v>51.9</v>
      </c>
      <c r="AY3" s="151">
        <v>-2485</v>
      </c>
      <c r="AZ3" s="152"/>
      <c r="BA3" s="149"/>
      <c r="BB3" s="149"/>
      <c r="BC3" s="150">
        <v>37.8</v>
      </c>
      <c r="BD3" s="151">
        <v>158</v>
      </c>
      <c r="BE3" s="151">
        <v>8</v>
      </c>
      <c r="BF3" s="151">
        <v>7406.151511614335</v>
      </c>
      <c r="BG3" s="147">
        <v>49950</v>
      </c>
      <c r="BH3" s="138">
        <v>23310</v>
      </c>
      <c r="BI3" s="138">
        <v>106755</v>
      </c>
      <c r="BJ3" s="138">
        <v>-83445</v>
      </c>
      <c r="BK3" s="138">
        <v>51037</v>
      </c>
      <c r="BL3" s="147">
        <v>29328</v>
      </c>
      <c r="BM3" s="159"/>
      <c r="BN3" s="149"/>
      <c r="BO3" s="138">
        <v>-449</v>
      </c>
      <c r="BP3" s="138">
        <v>191</v>
      </c>
      <c r="BQ3" s="138">
        <v>-3338</v>
      </c>
      <c r="BR3" s="138">
        <v>2541</v>
      </c>
      <c r="BS3" s="138">
        <v>2200</v>
      </c>
      <c r="BT3" s="138"/>
      <c r="BU3" s="138">
        <v>-3679</v>
      </c>
      <c r="BV3" s="138">
        <v>36</v>
      </c>
      <c r="BW3" s="138"/>
      <c r="BX3" s="138"/>
      <c r="BY3" s="138">
        <v>-3643</v>
      </c>
      <c r="BZ3" s="138">
        <v>-209</v>
      </c>
      <c r="CA3" s="138">
        <v>-3616</v>
      </c>
      <c r="CB3" s="149"/>
      <c r="CC3" s="138">
        <v>1064</v>
      </c>
      <c r="CD3" s="151">
        <v>-5033</v>
      </c>
      <c r="CE3" s="151">
        <v>-8645</v>
      </c>
      <c r="CF3" s="138">
        <v>51037</v>
      </c>
      <c r="CG3" s="138">
        <v>47523</v>
      </c>
      <c r="CH3" s="138">
        <v>1287</v>
      </c>
      <c r="CI3" s="138">
        <v>2227</v>
      </c>
      <c r="CJ3" s="153">
        <v>19.75</v>
      </c>
      <c r="CK3" s="152"/>
      <c r="CL3" s="138">
        <v>307</v>
      </c>
      <c r="CM3" s="190">
        <v>17108</v>
      </c>
      <c r="CN3" s="147"/>
      <c r="CO3" s="150">
        <v>0.6043176328502415</v>
      </c>
      <c r="CP3" s="150">
        <v>48.72661510503999</v>
      </c>
      <c r="CQ3" s="151">
        <v>-2688.0991349076457</v>
      </c>
      <c r="CR3" s="152"/>
      <c r="CS3" s="149"/>
      <c r="CT3" s="149"/>
      <c r="CU3" s="150">
        <v>37.01165490655786</v>
      </c>
      <c r="CV3" s="151">
        <v>98.55038578442833</v>
      </c>
      <c r="CW3" s="151">
        <v>4.936072253593429</v>
      </c>
      <c r="CX3" s="151">
        <v>7287.350946925415</v>
      </c>
      <c r="CY3" s="147">
        <v>49369</v>
      </c>
      <c r="CZ3" s="138">
        <v>24589</v>
      </c>
      <c r="DA3" s="138">
        <v>110499</v>
      </c>
      <c r="DB3" s="138">
        <v>-85910</v>
      </c>
      <c r="DC3" s="138">
        <v>57109</v>
      </c>
      <c r="DD3" s="147">
        <v>32218</v>
      </c>
      <c r="DE3" s="159"/>
      <c r="DF3" s="149"/>
      <c r="DG3" s="138">
        <v>-295</v>
      </c>
      <c r="DH3" s="138">
        <v>175</v>
      </c>
      <c r="DI3" s="138">
        <v>3297</v>
      </c>
      <c r="DJ3" s="138">
        <v>3330</v>
      </c>
      <c r="DK3" s="138"/>
      <c r="DL3" s="138"/>
      <c r="DM3" s="138">
        <v>-33</v>
      </c>
      <c r="DN3" s="138">
        <v>34</v>
      </c>
      <c r="DO3" s="138"/>
      <c r="DP3" s="138"/>
      <c r="DQ3" s="138">
        <v>1</v>
      </c>
      <c r="DR3" s="138">
        <v>-207</v>
      </c>
      <c r="DS3" s="138">
        <v>2267</v>
      </c>
      <c r="DT3" s="149"/>
      <c r="DU3" s="138">
        <v>722</v>
      </c>
      <c r="DV3" s="151">
        <v>-5918</v>
      </c>
      <c r="DW3" s="2">
        <v>-3328</v>
      </c>
      <c r="DX3" s="138">
        <v>57109</v>
      </c>
      <c r="DY3" s="147">
        <v>52871</v>
      </c>
      <c r="DZ3" s="195">
        <v>1415</v>
      </c>
      <c r="EA3" s="147">
        <v>2823</v>
      </c>
      <c r="EB3" s="153">
        <v>20.5</v>
      </c>
      <c r="EC3" s="152"/>
      <c r="ED3" s="138">
        <v>205</v>
      </c>
      <c r="EE3" s="3">
        <v>39786</v>
      </c>
      <c r="EF3" s="3">
        <v>41952</v>
      </c>
      <c r="EG3" s="3">
        <v>45394</v>
      </c>
      <c r="EH3" s="3"/>
      <c r="EI3" s="3"/>
      <c r="EJ3" s="3">
        <v>1540</v>
      </c>
      <c r="EK3" s="3">
        <v>-8278</v>
      </c>
      <c r="EL3" s="3">
        <v>1615</v>
      </c>
      <c r="EM3" s="3">
        <v>781</v>
      </c>
      <c r="EN3" s="3">
        <v>-14157</v>
      </c>
      <c r="EO3" s="3">
        <v>1591</v>
      </c>
      <c r="EP3" s="3">
        <v>7537</v>
      </c>
      <c r="EQ3" s="3">
        <v>-7548</v>
      </c>
      <c r="ER3" s="3">
        <v>715</v>
      </c>
      <c r="ES3" s="3">
        <v>1238</v>
      </c>
      <c r="ET3" s="2">
        <v>7000</v>
      </c>
      <c r="EV3" s="3">
        <v>10204</v>
      </c>
      <c r="EW3" s="3"/>
      <c r="EX3" s="3">
        <v>7509</v>
      </c>
      <c r="EY3" s="3"/>
      <c r="EZ3" s="3">
        <v>34031</v>
      </c>
      <c r="FA3" s="2">
        <v>28998</v>
      </c>
      <c r="FB3" s="2">
        <v>5033</v>
      </c>
      <c r="FC3" s="2">
        <v>42</v>
      </c>
      <c r="FD3" s="3">
        <v>39203</v>
      </c>
      <c r="FE3" s="2">
        <v>33285</v>
      </c>
      <c r="FF3" s="2">
        <v>5918</v>
      </c>
      <c r="FG3" s="3">
        <v>7333</v>
      </c>
      <c r="FH3" s="3">
        <v>40898</v>
      </c>
      <c r="FI3" s="2">
        <v>34511</v>
      </c>
      <c r="FJ3" s="2">
        <v>6387</v>
      </c>
      <c r="FK3" s="3">
        <v>7333</v>
      </c>
      <c r="FL3" s="30">
        <v>2662</v>
      </c>
      <c r="FM3" s="30">
        <v>2914.2640364188164</v>
      </c>
      <c r="FN3" s="30"/>
      <c r="FO3" s="181">
        <f aca="true" t="shared" si="0" ref="FO3:FO65">(DY3/EB3)</f>
        <v>2579.0731707317073</v>
      </c>
      <c r="FP3" s="179">
        <f aca="true" t="shared" si="1" ref="FP3:FP66">(FO3/CM3)*1000</f>
        <v>150.7524649714582</v>
      </c>
      <c r="FR3" s="184"/>
      <c r="FV3" s="184">
        <v>4670</v>
      </c>
      <c r="FW3" s="2">
        <f aca="true" t="shared" si="2" ref="FW3:FW65">FV3*-1</f>
        <v>-4670</v>
      </c>
    </row>
    <row r="4" spans="1:179" ht="12.75">
      <c r="A4" s="82">
        <v>5</v>
      </c>
      <c r="B4" s="80" t="s">
        <v>2</v>
      </c>
      <c r="C4" s="191">
        <v>10327</v>
      </c>
      <c r="D4" s="146"/>
      <c r="E4" s="150">
        <v>1.0397684369494085</v>
      </c>
      <c r="F4" s="150">
        <v>29.1</v>
      </c>
      <c r="G4" s="151">
        <v>-2055</v>
      </c>
      <c r="H4" s="152"/>
      <c r="I4" s="152"/>
      <c r="J4" s="152"/>
      <c r="K4" s="150">
        <v>47.2</v>
      </c>
      <c r="L4" s="151">
        <v>316</v>
      </c>
      <c r="M4" s="151">
        <v>11</v>
      </c>
      <c r="N4" s="154">
        <v>10581.969594267453</v>
      </c>
      <c r="O4" s="146">
        <v>41568</v>
      </c>
      <c r="P4" s="139">
        <v>41559</v>
      </c>
      <c r="Q4" s="139">
        <v>95849</v>
      </c>
      <c r="R4" s="139">
        <v>-54290</v>
      </c>
      <c r="S4" s="146">
        <v>26578</v>
      </c>
      <c r="T4" s="139">
        <v>31116</v>
      </c>
      <c r="U4" s="160"/>
      <c r="W4" s="138">
        <v>-396</v>
      </c>
      <c r="X4" s="138">
        <v>190</v>
      </c>
      <c r="Y4" s="139">
        <v>3198</v>
      </c>
      <c r="Z4" s="138">
        <v>2364</v>
      </c>
      <c r="AC4" s="139">
        <v>834</v>
      </c>
      <c r="AG4" s="139">
        <v>834</v>
      </c>
      <c r="AH4" s="139">
        <v>39</v>
      </c>
      <c r="AI4" s="139">
        <v>3157</v>
      </c>
      <c r="AJ4" s="176"/>
      <c r="AK4" s="139">
        <v>387</v>
      </c>
      <c r="AL4" s="151">
        <v>-3040</v>
      </c>
      <c r="AM4" s="151">
        <v>-1026</v>
      </c>
      <c r="AN4" s="146">
        <v>26578</v>
      </c>
      <c r="AO4" s="139">
        <v>22558</v>
      </c>
      <c r="AP4" s="139">
        <v>2510</v>
      </c>
      <c r="AQ4" s="139">
        <v>1510</v>
      </c>
      <c r="AR4" s="114">
        <v>20.5</v>
      </c>
      <c r="AS4" s="152"/>
      <c r="AT4" s="138">
        <v>120</v>
      </c>
      <c r="AU4" s="191">
        <v>10268</v>
      </c>
      <c r="AV4" s="146"/>
      <c r="AW4" s="150">
        <v>0.26483613817537643</v>
      </c>
      <c r="AX4" s="150">
        <v>33.5</v>
      </c>
      <c r="AY4" s="151">
        <v>-2443</v>
      </c>
      <c r="AZ4" s="152"/>
      <c r="BA4" s="152"/>
      <c r="BB4" s="152"/>
      <c r="BC4" s="150">
        <v>42</v>
      </c>
      <c r="BD4" s="151">
        <v>321</v>
      </c>
      <c r="BE4" s="151">
        <v>11</v>
      </c>
      <c r="BF4" s="154">
        <v>10728.184651343981</v>
      </c>
      <c r="BG4" s="146">
        <v>42736</v>
      </c>
      <c r="BH4" s="139">
        <v>41150</v>
      </c>
      <c r="BI4" s="139">
        <v>98818</v>
      </c>
      <c r="BJ4" s="139">
        <v>-57668</v>
      </c>
      <c r="BK4" s="146">
        <v>26351</v>
      </c>
      <c r="BL4" s="146">
        <v>32174</v>
      </c>
      <c r="BM4" s="160"/>
      <c r="BO4" s="138">
        <v>-352</v>
      </c>
      <c r="BP4" s="138">
        <v>22</v>
      </c>
      <c r="BQ4" s="139">
        <v>527</v>
      </c>
      <c r="BR4" s="138">
        <v>2336</v>
      </c>
      <c r="BU4" s="139">
        <v>-1809</v>
      </c>
      <c r="BY4" s="138">
        <v>-1809</v>
      </c>
      <c r="BZ4" s="139">
        <v>-1771</v>
      </c>
      <c r="CA4" s="139">
        <v>486</v>
      </c>
      <c r="CB4" s="176"/>
      <c r="CC4" s="139">
        <v>-671</v>
      </c>
      <c r="CD4" s="151">
        <v>-3017</v>
      </c>
      <c r="CE4" s="151">
        <v>-3883</v>
      </c>
      <c r="CF4" s="138">
        <v>26351</v>
      </c>
      <c r="CG4" s="139">
        <v>23203</v>
      </c>
      <c r="CH4" s="139">
        <v>1513</v>
      </c>
      <c r="CI4" s="139">
        <v>1635</v>
      </c>
      <c r="CJ4" s="114">
        <v>20.5</v>
      </c>
      <c r="CK4" s="152"/>
      <c r="CL4" s="138">
        <v>219</v>
      </c>
      <c r="CM4" s="190">
        <v>10227</v>
      </c>
      <c r="CN4" s="146"/>
      <c r="CO4" s="150">
        <v>0.1518987341772152</v>
      </c>
      <c r="CP4" s="150">
        <v>38.195341250036414</v>
      </c>
      <c r="CQ4" s="151">
        <v>-3121.3454581011047</v>
      </c>
      <c r="CR4" s="152"/>
      <c r="CS4" s="152"/>
      <c r="CT4" s="152"/>
      <c r="CU4" s="150">
        <v>35.7482684963428</v>
      </c>
      <c r="CV4" s="151">
        <v>360.5162804341449</v>
      </c>
      <c r="CW4" s="151">
        <v>11.65933132911118</v>
      </c>
      <c r="CX4" s="154">
        <v>11286.105407255303</v>
      </c>
      <c r="CY4" s="146">
        <v>42843</v>
      </c>
      <c r="CZ4" s="139">
        <v>42459</v>
      </c>
      <c r="DA4" s="139">
        <v>101988</v>
      </c>
      <c r="DB4" s="139">
        <v>-59529</v>
      </c>
      <c r="DC4" s="146">
        <v>27942</v>
      </c>
      <c r="DD4" s="146">
        <v>32588</v>
      </c>
      <c r="DE4" s="160"/>
      <c r="DG4" s="138">
        <v>-345</v>
      </c>
      <c r="DH4" s="138">
        <v>-426</v>
      </c>
      <c r="DI4" s="139">
        <v>230</v>
      </c>
      <c r="DJ4" s="138">
        <v>2584</v>
      </c>
      <c r="DM4" s="139">
        <v>-2354</v>
      </c>
      <c r="DQ4" s="138">
        <v>-2354</v>
      </c>
      <c r="DR4" s="139">
        <v>-4125</v>
      </c>
      <c r="DS4" s="139">
        <v>92</v>
      </c>
      <c r="DT4" s="176"/>
      <c r="DU4" s="139">
        <v>1282</v>
      </c>
      <c r="DV4" s="151">
        <v>-3513</v>
      </c>
      <c r="DW4" s="138">
        <v>-7384</v>
      </c>
      <c r="DX4" s="138">
        <v>27942</v>
      </c>
      <c r="DY4" s="146">
        <v>24456</v>
      </c>
      <c r="DZ4" s="196">
        <v>1637</v>
      </c>
      <c r="EA4" s="146">
        <v>1849</v>
      </c>
      <c r="EB4" s="114">
        <v>21</v>
      </c>
      <c r="EC4" s="152"/>
      <c r="ED4" s="138">
        <v>268</v>
      </c>
      <c r="EE4" s="138">
        <v>46286</v>
      </c>
      <c r="EF4" s="138">
        <v>47482</v>
      </c>
      <c r="EG4" s="138">
        <v>50458</v>
      </c>
      <c r="EH4" s="138"/>
      <c r="EI4" s="138"/>
      <c r="EJ4" s="138"/>
      <c r="EK4" s="3">
        <v>-4349</v>
      </c>
      <c r="EL4" s="138">
        <v>66</v>
      </c>
      <c r="EM4" s="138">
        <v>101</v>
      </c>
      <c r="EN4" s="3">
        <v>-7791</v>
      </c>
      <c r="EO4" s="138">
        <v>1132</v>
      </c>
      <c r="EP4" s="138">
        <v>2290</v>
      </c>
      <c r="EQ4" s="3">
        <v>-8906</v>
      </c>
      <c r="ER4" s="138">
        <v>1243</v>
      </c>
      <c r="ES4" s="138">
        <v>187</v>
      </c>
      <c r="ET4" s="163">
        <v>2500</v>
      </c>
      <c r="EU4" s="163"/>
      <c r="EV4" s="138">
        <v>6000</v>
      </c>
      <c r="EW4" s="138"/>
      <c r="EX4" s="138">
        <v>9000</v>
      </c>
      <c r="EY4" s="138">
        <v>1500</v>
      </c>
      <c r="EZ4" s="138">
        <v>18032</v>
      </c>
      <c r="FA4" s="138">
        <v>13515</v>
      </c>
      <c r="FB4" s="138">
        <v>4517</v>
      </c>
      <c r="FC4" s="138">
        <v>1162</v>
      </c>
      <c r="FD4" s="138">
        <v>21015</v>
      </c>
      <c r="FE4" s="138">
        <v>16303</v>
      </c>
      <c r="FF4" s="138">
        <v>4712</v>
      </c>
      <c r="FG4" s="138">
        <v>1101</v>
      </c>
      <c r="FH4" s="138">
        <v>28002</v>
      </c>
      <c r="FI4" s="138">
        <v>20854</v>
      </c>
      <c r="FJ4" s="138">
        <v>7148</v>
      </c>
      <c r="FK4" s="138">
        <v>566</v>
      </c>
      <c r="FL4" s="147">
        <v>3143</v>
      </c>
      <c r="FM4" s="147">
        <v>3500.2921698480714</v>
      </c>
      <c r="FO4" s="181">
        <f t="shared" si="0"/>
        <v>1164.5714285714287</v>
      </c>
      <c r="FP4" s="179">
        <f t="shared" si="1"/>
        <v>113.87224294235149</v>
      </c>
      <c r="FR4" s="184"/>
      <c r="FV4" s="184">
        <v>3040</v>
      </c>
      <c r="FW4" s="2">
        <f t="shared" si="2"/>
        <v>-3040</v>
      </c>
    </row>
    <row r="5" spans="1:179" ht="12.75">
      <c r="A5" s="82">
        <v>9</v>
      </c>
      <c r="B5" s="80" t="s">
        <v>3</v>
      </c>
      <c r="C5" s="191">
        <v>2750</v>
      </c>
      <c r="D5" s="146"/>
      <c r="E5" s="150">
        <v>0.7041906327033689</v>
      </c>
      <c r="F5" s="150">
        <v>56.7</v>
      </c>
      <c r="G5" s="151">
        <v>-2821</v>
      </c>
      <c r="H5" s="152"/>
      <c r="I5" s="152"/>
      <c r="J5" s="152"/>
      <c r="K5" s="150">
        <v>37</v>
      </c>
      <c r="L5" s="151">
        <v>403</v>
      </c>
      <c r="M5" s="151">
        <v>22</v>
      </c>
      <c r="N5" s="154">
        <v>8734.181818181818</v>
      </c>
      <c r="O5" s="146">
        <v>3700</v>
      </c>
      <c r="P5" s="139">
        <v>2144</v>
      </c>
      <c r="Q5" s="139">
        <v>16383</v>
      </c>
      <c r="R5" s="139">
        <v>-14239</v>
      </c>
      <c r="S5" s="146">
        <v>6677</v>
      </c>
      <c r="T5" s="139">
        <v>8106</v>
      </c>
      <c r="U5" s="160"/>
      <c r="W5" s="138">
        <v>-132</v>
      </c>
      <c r="X5" s="138">
        <v>20</v>
      </c>
      <c r="Y5" s="139">
        <v>432</v>
      </c>
      <c r="Z5" s="138">
        <v>530</v>
      </c>
      <c r="AA5" s="138">
        <v>318</v>
      </c>
      <c r="AC5" s="139">
        <v>220</v>
      </c>
      <c r="AG5" s="139">
        <v>220</v>
      </c>
      <c r="AH5" s="139">
        <v>-1833</v>
      </c>
      <c r="AI5" s="139">
        <v>705</v>
      </c>
      <c r="AJ5" s="176"/>
      <c r="AK5" s="139">
        <v>252</v>
      </c>
      <c r="AL5" s="151">
        <v>-792</v>
      </c>
      <c r="AM5" s="151">
        <v>-118</v>
      </c>
      <c r="AN5" s="146">
        <v>6677</v>
      </c>
      <c r="AO5" s="139">
        <v>6140</v>
      </c>
      <c r="AP5" s="139">
        <v>303</v>
      </c>
      <c r="AQ5" s="139">
        <v>234</v>
      </c>
      <c r="AR5" s="114">
        <v>21</v>
      </c>
      <c r="AS5" s="152"/>
      <c r="AT5" s="138">
        <v>229</v>
      </c>
      <c r="AU5" s="191">
        <v>2761</v>
      </c>
      <c r="AV5" s="146"/>
      <c r="AW5" s="150">
        <v>0.05185979971387697</v>
      </c>
      <c r="AX5" s="150">
        <v>59.4</v>
      </c>
      <c r="AY5" s="151">
        <v>-3134</v>
      </c>
      <c r="AZ5" s="152"/>
      <c r="BA5" s="152"/>
      <c r="BB5" s="152"/>
      <c r="BC5" s="150">
        <v>34</v>
      </c>
      <c r="BD5" s="151">
        <v>147</v>
      </c>
      <c r="BE5" s="151">
        <v>7</v>
      </c>
      <c r="BF5" s="154">
        <v>7455.632017385005</v>
      </c>
      <c r="BG5" s="146">
        <v>3684</v>
      </c>
      <c r="BH5" s="139">
        <v>2241</v>
      </c>
      <c r="BI5" s="139">
        <v>16690</v>
      </c>
      <c r="BJ5" s="139">
        <v>-14449</v>
      </c>
      <c r="BK5" s="146">
        <v>6878</v>
      </c>
      <c r="BL5" s="146">
        <v>7669</v>
      </c>
      <c r="BM5" s="160"/>
      <c r="BO5" s="138">
        <v>-94</v>
      </c>
      <c r="BP5" s="138">
        <v>14</v>
      </c>
      <c r="BQ5" s="139">
        <v>18</v>
      </c>
      <c r="BR5" s="138">
        <v>535</v>
      </c>
      <c r="BU5" s="139">
        <v>-517</v>
      </c>
      <c r="BY5" s="138">
        <v>-517</v>
      </c>
      <c r="BZ5" s="139">
        <v>-2350</v>
      </c>
      <c r="CA5" s="139">
        <v>-101</v>
      </c>
      <c r="CB5" s="176"/>
      <c r="CC5" s="139">
        <v>-178</v>
      </c>
      <c r="CD5" s="151">
        <v>-2669</v>
      </c>
      <c r="CE5" s="151">
        <v>-903</v>
      </c>
      <c r="CF5" s="138">
        <v>6878</v>
      </c>
      <c r="CG5" s="139">
        <v>6353</v>
      </c>
      <c r="CH5" s="139">
        <v>180</v>
      </c>
      <c r="CI5" s="139">
        <v>345</v>
      </c>
      <c r="CJ5" s="114">
        <v>21.5</v>
      </c>
      <c r="CK5" s="152"/>
      <c r="CL5" s="138">
        <v>234</v>
      </c>
      <c r="CM5" s="190">
        <v>2740</v>
      </c>
      <c r="CN5" s="146"/>
      <c r="CO5" s="150">
        <v>0.18723926380368097</v>
      </c>
      <c r="CP5" s="150">
        <v>76.88030107285289</v>
      </c>
      <c r="CQ5" s="151">
        <v>-4426.2773722627735</v>
      </c>
      <c r="CR5" s="152"/>
      <c r="CS5" s="152"/>
      <c r="CT5" s="152"/>
      <c r="CU5" s="150">
        <v>27.354709418837675</v>
      </c>
      <c r="CV5" s="151">
        <v>302.9197080291971</v>
      </c>
      <c r="CW5" s="151">
        <v>11.589074633717148</v>
      </c>
      <c r="CX5" s="154">
        <v>9540.51094890511</v>
      </c>
      <c r="CY5" s="146">
        <v>3688</v>
      </c>
      <c r="CZ5" s="139">
        <v>2169</v>
      </c>
      <c r="DA5" s="139">
        <v>17055</v>
      </c>
      <c r="DB5" s="139">
        <v>-14886</v>
      </c>
      <c r="DC5" s="146">
        <v>7397</v>
      </c>
      <c r="DD5" s="146">
        <v>8237</v>
      </c>
      <c r="DE5" s="160"/>
      <c r="DG5" s="138">
        <v>-94</v>
      </c>
      <c r="DH5" s="138">
        <v>4</v>
      </c>
      <c r="DI5" s="139">
        <v>658</v>
      </c>
      <c r="DJ5" s="138">
        <v>652</v>
      </c>
      <c r="DM5" s="139">
        <v>6</v>
      </c>
      <c r="DQ5" s="138">
        <v>6</v>
      </c>
      <c r="DR5" s="139">
        <v>-2344</v>
      </c>
      <c r="DS5" s="139">
        <v>657</v>
      </c>
      <c r="DT5" s="176"/>
      <c r="DU5" s="139">
        <v>190</v>
      </c>
      <c r="DV5" s="151">
        <v>-3970</v>
      </c>
      <c r="DW5" s="138">
        <v>-4167</v>
      </c>
      <c r="DX5" s="138">
        <v>7397</v>
      </c>
      <c r="DY5" s="146">
        <v>6861</v>
      </c>
      <c r="DZ5" s="196">
        <v>169</v>
      </c>
      <c r="EA5" s="146">
        <v>367</v>
      </c>
      <c r="EB5" s="114">
        <v>21.5</v>
      </c>
      <c r="EC5" s="152"/>
      <c r="ED5" s="138">
        <v>176</v>
      </c>
      <c r="EE5" s="138">
        <v>11636</v>
      </c>
      <c r="EF5" s="138">
        <v>11971</v>
      </c>
      <c r="EG5" s="138">
        <v>12308</v>
      </c>
      <c r="EH5" s="151">
        <v>300</v>
      </c>
      <c r="EI5" s="151"/>
      <c r="EJ5" s="151">
        <v>360</v>
      </c>
      <c r="EK5" s="3">
        <v>-1084</v>
      </c>
      <c r="EL5" s="138">
        <v>15</v>
      </c>
      <c r="EM5" s="138">
        <v>246</v>
      </c>
      <c r="EN5" s="3">
        <v>-1093</v>
      </c>
      <c r="EO5" s="138"/>
      <c r="EP5" s="138">
        <v>291</v>
      </c>
      <c r="EQ5" s="3">
        <v>-5003</v>
      </c>
      <c r="ER5" s="138">
        <v>179</v>
      </c>
      <c r="ET5" s="163">
        <v>1393</v>
      </c>
      <c r="EU5" s="163">
        <v>-1000</v>
      </c>
      <c r="EV5" s="138"/>
      <c r="EW5" s="138">
        <v>3700</v>
      </c>
      <c r="EX5" s="138">
        <v>3900</v>
      </c>
      <c r="EY5" s="138">
        <v>4000</v>
      </c>
      <c r="EZ5" s="138">
        <v>7596</v>
      </c>
      <c r="FA5" s="138">
        <v>5127</v>
      </c>
      <c r="FB5" s="138">
        <v>2469</v>
      </c>
      <c r="FC5" s="138">
        <v>798</v>
      </c>
      <c r="FD5" s="138">
        <v>8626</v>
      </c>
      <c r="FE5" s="138">
        <v>4157</v>
      </c>
      <c r="FF5" s="138">
        <v>4469</v>
      </c>
      <c r="FG5" s="138">
        <v>725</v>
      </c>
      <c r="FH5" s="138">
        <v>12557</v>
      </c>
      <c r="FI5" s="138">
        <v>6976</v>
      </c>
      <c r="FJ5" s="138">
        <v>5581</v>
      </c>
      <c r="FK5" s="138">
        <v>84</v>
      </c>
      <c r="FL5" s="147">
        <v>3169</v>
      </c>
      <c r="FM5" s="147">
        <v>3745.3821079319086</v>
      </c>
      <c r="FO5" s="181">
        <f t="shared" si="0"/>
        <v>319.1162790697674</v>
      </c>
      <c r="FP5" s="179">
        <f t="shared" si="1"/>
        <v>116.465795280937</v>
      </c>
      <c r="FR5" s="184"/>
      <c r="FV5" s="184">
        <v>792</v>
      </c>
      <c r="FW5" s="2">
        <f t="shared" si="2"/>
        <v>-792</v>
      </c>
    </row>
    <row r="6" spans="1:179" ht="12.75">
      <c r="A6" s="82">
        <v>10</v>
      </c>
      <c r="B6" s="80" t="s">
        <v>4</v>
      </c>
      <c r="C6" s="191">
        <v>9229</v>
      </c>
      <c r="D6" s="146"/>
      <c r="E6" s="150">
        <v>0.7925311203319502</v>
      </c>
      <c r="F6" s="150">
        <v>42.6</v>
      </c>
      <c r="G6" s="151">
        <v>-1469</v>
      </c>
      <c r="H6" s="152"/>
      <c r="I6" s="152"/>
      <c r="J6" s="152"/>
      <c r="K6" s="150">
        <v>54.9</v>
      </c>
      <c r="L6" s="151">
        <v>1040</v>
      </c>
      <c r="M6" s="151">
        <v>52</v>
      </c>
      <c r="N6" s="154">
        <v>6691.190811572218</v>
      </c>
      <c r="O6" s="146">
        <v>25411</v>
      </c>
      <c r="P6" s="139">
        <v>13013</v>
      </c>
      <c r="Q6" s="139">
        <v>59502</v>
      </c>
      <c r="R6" s="139">
        <v>-46489</v>
      </c>
      <c r="S6" s="146">
        <v>23153</v>
      </c>
      <c r="T6" s="139">
        <v>25458</v>
      </c>
      <c r="U6" s="160"/>
      <c r="W6" s="138">
        <v>-264</v>
      </c>
      <c r="X6" s="138">
        <v>248</v>
      </c>
      <c r="Y6" s="139">
        <v>2106</v>
      </c>
      <c r="Z6" s="138">
        <v>1839</v>
      </c>
      <c r="AC6" s="139">
        <v>267</v>
      </c>
      <c r="AG6" s="139">
        <v>267</v>
      </c>
      <c r="AH6" s="139">
        <v>7386</v>
      </c>
      <c r="AI6" s="139">
        <v>1955</v>
      </c>
      <c r="AJ6" s="176"/>
      <c r="AK6" s="139">
        <v>-436</v>
      </c>
      <c r="AL6" s="151">
        <v>-2706</v>
      </c>
      <c r="AM6" s="151">
        <v>-1369</v>
      </c>
      <c r="AN6" s="146">
        <v>23153</v>
      </c>
      <c r="AO6" s="139">
        <v>20289</v>
      </c>
      <c r="AP6" s="139">
        <v>1489</v>
      </c>
      <c r="AQ6" s="139">
        <v>1375</v>
      </c>
      <c r="AR6" s="114">
        <v>19.75</v>
      </c>
      <c r="AS6" s="152"/>
      <c r="AT6" s="138">
        <v>182</v>
      </c>
      <c r="AU6" s="191">
        <v>9221</v>
      </c>
      <c r="AV6" s="146"/>
      <c r="AW6" s="150">
        <v>0.5507936507936508</v>
      </c>
      <c r="AX6" s="150">
        <v>45.2</v>
      </c>
      <c r="AY6" s="151">
        <v>-1664</v>
      </c>
      <c r="AZ6" s="152"/>
      <c r="BA6" s="152"/>
      <c r="BB6" s="152"/>
      <c r="BC6" s="150">
        <v>52.3</v>
      </c>
      <c r="BD6" s="151">
        <v>1116</v>
      </c>
      <c r="BE6" s="151">
        <v>54</v>
      </c>
      <c r="BF6" s="154">
        <v>7495.607851642989</v>
      </c>
      <c r="BG6" s="146">
        <v>26864</v>
      </c>
      <c r="BH6" s="139">
        <v>13688</v>
      </c>
      <c r="BI6" s="139">
        <v>62707</v>
      </c>
      <c r="BJ6" s="139">
        <v>-49019</v>
      </c>
      <c r="BK6" s="146">
        <v>22857</v>
      </c>
      <c r="BL6" s="146">
        <v>26930</v>
      </c>
      <c r="BM6" s="160"/>
      <c r="BO6" s="138">
        <v>-200</v>
      </c>
      <c r="BP6" s="138">
        <v>848</v>
      </c>
      <c r="BQ6" s="139">
        <v>1416</v>
      </c>
      <c r="BR6" s="138">
        <v>1915</v>
      </c>
      <c r="BU6" s="139">
        <v>-499</v>
      </c>
      <c r="BY6" s="138">
        <v>-499</v>
      </c>
      <c r="BZ6" s="139">
        <v>6888</v>
      </c>
      <c r="CA6" s="139">
        <v>1377</v>
      </c>
      <c r="CB6" s="176"/>
      <c r="CC6" s="139">
        <v>10</v>
      </c>
      <c r="CD6" s="151">
        <v>-2831</v>
      </c>
      <c r="CE6" s="151">
        <v>-1756</v>
      </c>
      <c r="CF6" s="138">
        <v>22857</v>
      </c>
      <c r="CG6" s="139">
        <v>20443</v>
      </c>
      <c r="CH6" s="139">
        <v>996</v>
      </c>
      <c r="CI6" s="139">
        <v>1418</v>
      </c>
      <c r="CJ6" s="114">
        <v>19.75</v>
      </c>
      <c r="CK6" s="152"/>
      <c r="CL6" s="138">
        <v>150</v>
      </c>
      <c r="CM6" s="190">
        <v>12228</v>
      </c>
      <c r="CN6" s="146"/>
      <c r="CO6" s="150">
        <v>0.644454186760193</v>
      </c>
      <c r="CP6" s="150">
        <v>50.30056370313194</v>
      </c>
      <c r="CQ6" s="151">
        <v>-2319.103696434413</v>
      </c>
      <c r="CR6" s="152"/>
      <c r="CS6" s="152"/>
      <c r="CT6" s="152"/>
      <c r="CU6" s="150">
        <v>49.829049005951624</v>
      </c>
      <c r="CV6" s="151">
        <v>894.7497546614328</v>
      </c>
      <c r="CW6" s="151">
        <v>42.550211500964274</v>
      </c>
      <c r="CX6" s="154">
        <v>7675.253516519463</v>
      </c>
      <c r="CY6" s="146">
        <v>33898</v>
      </c>
      <c r="CZ6" s="139">
        <v>16997</v>
      </c>
      <c r="DA6" s="139">
        <v>82972</v>
      </c>
      <c r="DB6" s="139">
        <v>-65975</v>
      </c>
      <c r="DC6" s="146">
        <v>31480</v>
      </c>
      <c r="DD6" s="146">
        <v>37029</v>
      </c>
      <c r="DE6" s="160"/>
      <c r="DG6" s="138">
        <v>-320</v>
      </c>
      <c r="DH6" s="138">
        <v>361</v>
      </c>
      <c r="DI6" s="139">
        <v>2575</v>
      </c>
      <c r="DJ6" s="138">
        <v>2872</v>
      </c>
      <c r="DM6" s="139">
        <v>-297</v>
      </c>
      <c r="DQ6" s="138">
        <v>-297</v>
      </c>
      <c r="DR6" s="139">
        <v>9628</v>
      </c>
      <c r="DS6" s="139">
        <v>2467</v>
      </c>
      <c r="DT6" s="176"/>
      <c r="DU6" s="139">
        <v>507</v>
      </c>
      <c r="DV6" s="151">
        <v>-4197</v>
      </c>
      <c r="DW6" s="138">
        <v>-3475</v>
      </c>
      <c r="DX6" s="138">
        <v>31480</v>
      </c>
      <c r="DY6" s="146">
        <v>27504</v>
      </c>
      <c r="DZ6" s="196">
        <v>1825</v>
      </c>
      <c r="EA6" s="146">
        <v>2151</v>
      </c>
      <c r="EB6" s="114">
        <v>19.75</v>
      </c>
      <c r="EC6" s="152"/>
      <c r="ED6" s="138">
        <v>192</v>
      </c>
      <c r="EE6" s="138">
        <v>27251</v>
      </c>
      <c r="EF6" s="138">
        <v>28424</v>
      </c>
      <c r="EG6" s="138">
        <v>38953</v>
      </c>
      <c r="EH6" s="138"/>
      <c r="EI6" s="138"/>
      <c r="EJ6" s="138"/>
      <c r="EK6" s="3">
        <v>-4349</v>
      </c>
      <c r="EL6" s="138">
        <v>799</v>
      </c>
      <c r="EM6" s="138">
        <v>226</v>
      </c>
      <c r="EN6" s="3">
        <v>-3253</v>
      </c>
      <c r="EO6" s="138">
        <v>25</v>
      </c>
      <c r="EP6" s="138">
        <v>95</v>
      </c>
      <c r="EQ6" s="3">
        <v>-6302</v>
      </c>
      <c r="ER6" s="138">
        <v>221</v>
      </c>
      <c r="ES6" s="138">
        <v>139</v>
      </c>
      <c r="ET6" s="163">
        <v>3000</v>
      </c>
      <c r="EU6" s="163">
        <v>1298</v>
      </c>
      <c r="EV6" s="138">
        <v>5000</v>
      </c>
      <c r="EW6" s="138">
        <v>-298</v>
      </c>
      <c r="EX6" s="138">
        <v>10900</v>
      </c>
      <c r="EY6" s="138">
        <v>-3500</v>
      </c>
      <c r="EZ6" s="138">
        <v>18693</v>
      </c>
      <c r="FA6" s="138">
        <v>14563</v>
      </c>
      <c r="FB6" s="138">
        <v>4130</v>
      </c>
      <c r="FC6" s="138">
        <v>1433</v>
      </c>
      <c r="FD6" s="138">
        <v>20564</v>
      </c>
      <c r="FE6" s="138">
        <v>16272</v>
      </c>
      <c r="FF6" s="138">
        <v>4292</v>
      </c>
      <c r="FG6" s="138">
        <v>1348</v>
      </c>
      <c r="FH6" s="138">
        <v>31221</v>
      </c>
      <c r="FI6" s="138">
        <v>26545</v>
      </c>
      <c r="FJ6" s="138">
        <v>4676</v>
      </c>
      <c r="FK6" s="138">
        <v>3962</v>
      </c>
      <c r="FL6" s="147">
        <v>3953</v>
      </c>
      <c r="FM6" s="147">
        <v>4181.216787767054</v>
      </c>
      <c r="FO6" s="181">
        <f t="shared" si="0"/>
        <v>1392.607594936709</v>
      </c>
      <c r="FP6" s="179">
        <f t="shared" si="1"/>
        <v>113.8867840151054</v>
      </c>
      <c r="FR6" s="184"/>
      <c r="FV6" s="184">
        <v>2706</v>
      </c>
      <c r="FW6" s="2">
        <f t="shared" si="2"/>
        <v>-2706</v>
      </c>
    </row>
    <row r="7" spans="1:179" ht="12.75">
      <c r="A7" s="82">
        <v>16</v>
      </c>
      <c r="B7" s="80" t="s">
        <v>5</v>
      </c>
      <c r="C7" s="191">
        <v>8498</v>
      </c>
      <c r="D7" s="146"/>
      <c r="E7" s="150">
        <v>3.6733333333333333</v>
      </c>
      <c r="F7" s="150">
        <v>47.2</v>
      </c>
      <c r="G7" s="151">
        <v>-2410</v>
      </c>
      <c r="H7" s="152"/>
      <c r="I7" s="152"/>
      <c r="J7" s="152"/>
      <c r="K7" s="150">
        <v>52.1</v>
      </c>
      <c r="L7" s="151">
        <v>38</v>
      </c>
      <c r="M7" s="151">
        <v>2</v>
      </c>
      <c r="N7" s="154">
        <v>6265.356554483408</v>
      </c>
      <c r="O7" s="146">
        <v>12779</v>
      </c>
      <c r="P7" s="139">
        <v>6009</v>
      </c>
      <c r="Q7" s="139">
        <v>45983</v>
      </c>
      <c r="R7" s="139">
        <v>-39974</v>
      </c>
      <c r="S7" s="146">
        <v>26455</v>
      </c>
      <c r="T7" s="139">
        <v>15877</v>
      </c>
      <c r="U7" s="160"/>
      <c r="W7" s="138">
        <v>-31</v>
      </c>
      <c r="X7" s="138">
        <v>58</v>
      </c>
      <c r="Y7" s="139">
        <v>2385</v>
      </c>
      <c r="Z7" s="138">
        <v>2187</v>
      </c>
      <c r="AC7" s="139">
        <v>198</v>
      </c>
      <c r="AD7" s="139">
        <v>94</v>
      </c>
      <c r="AG7" s="139">
        <v>292</v>
      </c>
      <c r="AH7" s="139">
        <v>1854</v>
      </c>
      <c r="AI7" s="139">
        <v>2298</v>
      </c>
      <c r="AJ7" s="176"/>
      <c r="AK7" s="139">
        <v>-575</v>
      </c>
      <c r="AL7" s="151">
        <v>-380</v>
      </c>
      <c r="AM7" s="151">
        <v>-2547</v>
      </c>
      <c r="AN7" s="146">
        <v>26455</v>
      </c>
      <c r="AO7" s="139">
        <v>22445</v>
      </c>
      <c r="AP7" s="139">
        <v>2095</v>
      </c>
      <c r="AQ7" s="139">
        <v>1915</v>
      </c>
      <c r="AR7" s="114">
        <v>20</v>
      </c>
      <c r="AS7" s="152"/>
      <c r="AT7" s="138">
        <v>138</v>
      </c>
      <c r="AU7" s="191">
        <v>8461</v>
      </c>
      <c r="AV7" s="146"/>
      <c r="AW7" s="150">
        <v>2.292964244521338</v>
      </c>
      <c r="AX7" s="150">
        <v>50.3</v>
      </c>
      <c r="AY7" s="151">
        <v>-2756</v>
      </c>
      <c r="AZ7" s="152"/>
      <c r="BA7" s="152"/>
      <c r="BB7" s="152"/>
      <c r="BC7" s="150">
        <v>49.3</v>
      </c>
      <c r="BD7" s="151">
        <v>35</v>
      </c>
      <c r="BE7" s="151">
        <v>2</v>
      </c>
      <c r="BF7" s="154">
        <v>6547.571209076941</v>
      </c>
      <c r="BG7" s="146">
        <v>12887</v>
      </c>
      <c r="BH7" s="139">
        <v>6302</v>
      </c>
      <c r="BI7" s="139">
        <v>48591</v>
      </c>
      <c r="BJ7" s="139">
        <v>-42289</v>
      </c>
      <c r="BK7" s="146">
        <v>27009</v>
      </c>
      <c r="BL7" s="146">
        <v>16944</v>
      </c>
      <c r="BM7" s="160"/>
      <c r="BO7" s="138">
        <v>15</v>
      </c>
      <c r="BP7" s="138">
        <v>39</v>
      </c>
      <c r="BQ7" s="139">
        <v>1718</v>
      </c>
      <c r="BR7" s="138">
        <v>1997</v>
      </c>
      <c r="BU7" s="139">
        <v>-279</v>
      </c>
      <c r="BV7" s="139">
        <v>94</v>
      </c>
      <c r="BY7" s="138">
        <v>-185</v>
      </c>
      <c r="BZ7" s="139">
        <v>1669</v>
      </c>
      <c r="CA7" s="139">
        <v>1672</v>
      </c>
      <c r="CB7" s="176"/>
      <c r="CC7" s="139">
        <v>317</v>
      </c>
      <c r="CD7" s="151">
        <v>-597</v>
      </c>
      <c r="CE7" s="151">
        <v>-3165</v>
      </c>
      <c r="CF7" s="138">
        <v>27009</v>
      </c>
      <c r="CG7" s="139">
        <v>23600</v>
      </c>
      <c r="CH7" s="139">
        <v>1444</v>
      </c>
      <c r="CI7" s="139">
        <v>1965</v>
      </c>
      <c r="CJ7" s="114">
        <v>20</v>
      </c>
      <c r="CK7" s="152"/>
      <c r="CL7" s="138">
        <v>112</v>
      </c>
      <c r="CM7" s="190">
        <v>8405</v>
      </c>
      <c r="CN7" s="146"/>
      <c r="CO7" s="150">
        <v>0.41480515245393773</v>
      </c>
      <c r="CP7" s="150">
        <v>44.4159276780755</v>
      </c>
      <c r="CQ7" s="151">
        <v>-2539.678762641285</v>
      </c>
      <c r="CR7" s="152"/>
      <c r="CS7" s="152"/>
      <c r="CT7" s="152"/>
      <c r="CU7" s="150">
        <v>51.53028317000604</v>
      </c>
      <c r="CV7" s="151">
        <v>40.57108863771564</v>
      </c>
      <c r="CW7" s="151">
        <v>1.899417043096081</v>
      </c>
      <c r="CX7" s="154">
        <v>7796.311719214753</v>
      </c>
      <c r="CY7" s="146">
        <v>12672</v>
      </c>
      <c r="CZ7" s="139">
        <v>6484</v>
      </c>
      <c r="DA7" s="139">
        <v>49957</v>
      </c>
      <c r="DB7" s="139">
        <v>-43473</v>
      </c>
      <c r="DC7" s="146">
        <v>29009</v>
      </c>
      <c r="DD7" s="146">
        <v>16731</v>
      </c>
      <c r="DE7" s="160"/>
      <c r="DG7" s="138">
        <v>10</v>
      </c>
      <c r="DH7" s="138">
        <v>14</v>
      </c>
      <c r="DI7" s="139">
        <v>2291</v>
      </c>
      <c r="DJ7" s="138">
        <v>2190</v>
      </c>
      <c r="DM7" s="139">
        <v>101</v>
      </c>
      <c r="DN7" s="139">
        <v>94</v>
      </c>
      <c r="DQ7" s="138">
        <v>195</v>
      </c>
      <c r="DR7" s="139">
        <v>1865</v>
      </c>
      <c r="DS7" s="139">
        <v>2249</v>
      </c>
      <c r="DT7" s="176"/>
      <c r="DU7" s="139">
        <v>171</v>
      </c>
      <c r="DV7" s="151">
        <v>-5880</v>
      </c>
      <c r="DW7" s="138">
        <v>-5976</v>
      </c>
      <c r="DX7" s="138">
        <v>29009</v>
      </c>
      <c r="DY7" s="146">
        <v>25528</v>
      </c>
      <c r="DZ7" s="196">
        <v>1460</v>
      </c>
      <c r="EA7" s="146">
        <v>2021</v>
      </c>
      <c r="EB7" s="114">
        <v>20.75</v>
      </c>
      <c r="EC7" s="152"/>
      <c r="ED7" s="138">
        <v>159</v>
      </c>
      <c r="EE7" s="138">
        <v>29843</v>
      </c>
      <c r="EF7" s="138">
        <v>32029</v>
      </c>
      <c r="EG7" s="138">
        <v>33643</v>
      </c>
      <c r="EH7" s="138"/>
      <c r="EI7" s="138"/>
      <c r="EJ7" s="138"/>
      <c r="EK7" s="3">
        <v>-5106</v>
      </c>
      <c r="EL7" s="138">
        <v>107</v>
      </c>
      <c r="EM7" s="138">
        <v>154</v>
      </c>
      <c r="EN7" s="3">
        <v>-5885</v>
      </c>
      <c r="EO7" s="138">
        <v>995</v>
      </c>
      <c r="EP7" s="138">
        <v>53</v>
      </c>
      <c r="EQ7" s="3">
        <v>-9435</v>
      </c>
      <c r="ER7" s="138">
        <v>1138</v>
      </c>
      <c r="ES7" s="138">
        <v>72</v>
      </c>
      <c r="ET7" s="163">
        <v>6950</v>
      </c>
      <c r="EU7" s="163">
        <v>2200</v>
      </c>
      <c r="EV7" s="138">
        <v>450</v>
      </c>
      <c r="EW7" s="138">
        <v>1500</v>
      </c>
      <c r="EX7" s="138">
        <v>600</v>
      </c>
      <c r="EY7" s="138">
        <v>2400</v>
      </c>
      <c r="EZ7" s="138">
        <v>16632</v>
      </c>
      <c r="FA7" s="138">
        <v>6437</v>
      </c>
      <c r="FB7" s="138">
        <v>10195</v>
      </c>
      <c r="FC7" s="138">
        <v>9211</v>
      </c>
      <c r="FD7" s="138">
        <v>17985</v>
      </c>
      <c r="FE7" s="138">
        <v>6422</v>
      </c>
      <c r="FF7" s="138">
        <v>11563</v>
      </c>
      <c r="FG7" s="138">
        <v>8836</v>
      </c>
      <c r="FH7" s="138">
        <v>15104</v>
      </c>
      <c r="FI7" s="138">
        <v>1574</v>
      </c>
      <c r="FJ7" s="138">
        <v>13530</v>
      </c>
      <c r="FK7" s="138">
        <v>887</v>
      </c>
      <c r="FL7" s="147">
        <v>2358</v>
      </c>
      <c r="FM7" s="147">
        <v>2508.3323484221723</v>
      </c>
      <c r="FO7" s="181">
        <f t="shared" si="0"/>
        <v>1230.2650602409637</v>
      </c>
      <c r="FP7" s="179">
        <f t="shared" si="1"/>
        <v>146.37299943378508</v>
      </c>
      <c r="FR7" s="184"/>
      <c r="FV7" s="184">
        <v>380</v>
      </c>
      <c r="FW7" s="2">
        <f t="shared" si="2"/>
        <v>-380</v>
      </c>
    </row>
    <row r="8" spans="1:179" ht="12.75">
      <c r="A8" s="82">
        <v>18</v>
      </c>
      <c r="B8" s="80" t="s">
        <v>6</v>
      </c>
      <c r="C8" s="191">
        <v>4911</v>
      </c>
      <c r="D8" s="146"/>
      <c r="E8" s="150">
        <v>-0.8244274809160306</v>
      </c>
      <c r="F8" s="150">
        <v>63.7</v>
      </c>
      <c r="G8" s="151">
        <v>-2853</v>
      </c>
      <c r="H8" s="152"/>
      <c r="I8" s="152"/>
      <c r="J8" s="152"/>
      <c r="K8" s="150">
        <v>32.3</v>
      </c>
      <c r="L8" s="151">
        <v>172</v>
      </c>
      <c r="M8" s="151">
        <v>11</v>
      </c>
      <c r="N8" s="154">
        <v>8208.91875381796</v>
      </c>
      <c r="O8" s="146">
        <v>12290</v>
      </c>
      <c r="P8" s="139">
        <v>3941</v>
      </c>
      <c r="Q8" s="139">
        <v>25777</v>
      </c>
      <c r="R8" s="139">
        <v>-21836</v>
      </c>
      <c r="S8" s="146">
        <v>14836</v>
      </c>
      <c r="T8" s="139">
        <v>6246</v>
      </c>
      <c r="U8" s="160"/>
      <c r="W8" s="138">
        <v>-421</v>
      </c>
      <c r="X8" s="138">
        <v>201</v>
      </c>
      <c r="Y8" s="139">
        <v>-974</v>
      </c>
      <c r="Z8" s="138">
        <v>1357</v>
      </c>
      <c r="AC8" s="139">
        <v>-2331</v>
      </c>
      <c r="AG8" s="139">
        <v>-2331</v>
      </c>
      <c r="AH8" s="139">
        <v>-34</v>
      </c>
      <c r="AI8" s="139">
        <v>-1295</v>
      </c>
      <c r="AJ8" s="176"/>
      <c r="AK8" s="138">
        <v>246</v>
      </c>
      <c r="AL8" s="151">
        <v>-699</v>
      </c>
      <c r="AM8" s="151">
        <v>-2208</v>
      </c>
      <c r="AN8" s="146">
        <v>14836</v>
      </c>
      <c r="AO8" s="139">
        <v>13380</v>
      </c>
      <c r="AP8" s="139">
        <v>922</v>
      </c>
      <c r="AQ8" s="139">
        <v>534</v>
      </c>
      <c r="AR8" s="114">
        <v>19</v>
      </c>
      <c r="AS8" s="152"/>
      <c r="AT8" s="138">
        <v>314</v>
      </c>
      <c r="AU8" s="191">
        <v>4988</v>
      </c>
      <c r="AV8" s="146"/>
      <c r="AW8" s="150">
        <v>0.9418212478920742</v>
      </c>
      <c r="AX8" s="150">
        <v>57.2</v>
      </c>
      <c r="AY8" s="151">
        <v>-2703</v>
      </c>
      <c r="AZ8" s="152"/>
      <c r="BA8" s="152"/>
      <c r="BB8" s="152"/>
      <c r="BC8" s="150">
        <v>31.1</v>
      </c>
      <c r="BD8" s="151">
        <v>203</v>
      </c>
      <c r="BE8" s="151">
        <v>13</v>
      </c>
      <c r="BF8" s="154">
        <v>5570.970328789093</v>
      </c>
      <c r="BG8" s="146">
        <v>12542</v>
      </c>
      <c r="BH8" s="139">
        <v>4216</v>
      </c>
      <c r="BI8" s="139">
        <v>26174</v>
      </c>
      <c r="BJ8" s="139">
        <v>-21958</v>
      </c>
      <c r="BK8" s="146">
        <v>16020</v>
      </c>
      <c r="BL8" s="146">
        <v>6823</v>
      </c>
      <c r="BM8" s="160"/>
      <c r="BO8" s="138">
        <v>-407</v>
      </c>
      <c r="BP8" s="138">
        <v>232</v>
      </c>
      <c r="BQ8" s="139">
        <v>710</v>
      </c>
      <c r="BR8" s="138">
        <v>1325</v>
      </c>
      <c r="BS8" s="138">
        <v>256</v>
      </c>
      <c r="BT8" s="138">
        <v>137</v>
      </c>
      <c r="BU8" s="139">
        <v>-496</v>
      </c>
      <c r="BY8" s="138">
        <v>-496</v>
      </c>
      <c r="BZ8" s="139">
        <v>-529</v>
      </c>
      <c r="CA8" s="139">
        <v>449</v>
      </c>
      <c r="CB8" s="176"/>
      <c r="CC8" s="138">
        <v>77</v>
      </c>
      <c r="CD8" s="151">
        <v>-779</v>
      </c>
      <c r="CE8" s="151">
        <v>543</v>
      </c>
      <c r="CF8" s="138">
        <v>16020</v>
      </c>
      <c r="CG8" s="139">
        <v>14734</v>
      </c>
      <c r="CH8" s="139">
        <v>620</v>
      </c>
      <c r="CI8" s="139">
        <v>666</v>
      </c>
      <c r="CJ8" s="114">
        <v>20</v>
      </c>
      <c r="CK8" s="152"/>
      <c r="CL8" s="138">
        <v>158</v>
      </c>
      <c r="CM8" s="190">
        <v>4991</v>
      </c>
      <c r="CN8" s="146"/>
      <c r="CO8" s="150">
        <v>1.3897849462365592</v>
      </c>
      <c r="CP8" s="150">
        <v>54.546411281835404</v>
      </c>
      <c r="CQ8" s="151">
        <v>-2696.653977158886</v>
      </c>
      <c r="CR8" s="152"/>
      <c r="CS8" s="152"/>
      <c r="CT8" s="152"/>
      <c r="CU8" s="150">
        <v>30.78700462120151</v>
      </c>
      <c r="CV8" s="151">
        <v>196.75415748347024</v>
      </c>
      <c r="CW8" s="151">
        <v>11.953643488410872</v>
      </c>
      <c r="CX8" s="154">
        <v>6007.8140653175715</v>
      </c>
      <c r="CY8" s="146">
        <v>12408</v>
      </c>
      <c r="CZ8" s="139">
        <v>4106</v>
      </c>
      <c r="DA8" s="139">
        <v>27251</v>
      </c>
      <c r="DB8" s="139">
        <v>-23145</v>
      </c>
      <c r="DC8" s="146">
        <v>17645</v>
      </c>
      <c r="DD8" s="146">
        <v>6755</v>
      </c>
      <c r="DE8" s="160"/>
      <c r="DG8" s="138">
        <v>-274</v>
      </c>
      <c r="DH8" s="138">
        <v>296</v>
      </c>
      <c r="DI8" s="139">
        <v>1277</v>
      </c>
      <c r="DJ8" s="138">
        <v>1203</v>
      </c>
      <c r="DK8" s="138">
        <v>8</v>
      </c>
      <c r="DM8" s="139">
        <v>82</v>
      </c>
      <c r="DQ8" s="138">
        <v>82</v>
      </c>
      <c r="DR8" s="139">
        <v>-447</v>
      </c>
      <c r="DS8" s="139">
        <v>1107</v>
      </c>
      <c r="DT8" s="176"/>
      <c r="DU8" s="138">
        <v>-114</v>
      </c>
      <c r="DV8" s="151">
        <v>-842</v>
      </c>
      <c r="DW8" s="138">
        <v>31</v>
      </c>
      <c r="DX8" s="138">
        <v>17645</v>
      </c>
      <c r="DY8" s="146">
        <v>15943</v>
      </c>
      <c r="DZ8" s="196">
        <v>771</v>
      </c>
      <c r="EA8" s="146">
        <v>931</v>
      </c>
      <c r="EB8" s="114">
        <v>20.25</v>
      </c>
      <c r="EC8" s="152"/>
      <c r="ED8" s="138">
        <v>169</v>
      </c>
      <c r="EE8" s="138">
        <v>10254</v>
      </c>
      <c r="EF8" s="138">
        <v>10234</v>
      </c>
      <c r="EG8" s="138">
        <v>11418</v>
      </c>
      <c r="EH8" s="138"/>
      <c r="EI8" s="138">
        <v>650</v>
      </c>
      <c r="EJ8" s="138"/>
      <c r="EK8" s="3">
        <v>-1251</v>
      </c>
      <c r="EL8" s="138"/>
      <c r="EM8" s="138">
        <v>338</v>
      </c>
      <c r="EN8" s="3">
        <v>-399</v>
      </c>
      <c r="EO8" s="138">
        <v>100</v>
      </c>
      <c r="EP8" s="138">
        <v>393</v>
      </c>
      <c r="EQ8" s="3">
        <v>-1607</v>
      </c>
      <c r="ER8" s="138">
        <v>300</v>
      </c>
      <c r="ES8" s="138">
        <v>231</v>
      </c>
      <c r="ET8" s="163">
        <v>1500</v>
      </c>
      <c r="EU8" s="163">
        <v>1168</v>
      </c>
      <c r="EV8" s="138">
        <v>1000</v>
      </c>
      <c r="EW8" s="138">
        <v>-740</v>
      </c>
      <c r="EX8" s="138"/>
      <c r="EY8" s="138">
        <v>670</v>
      </c>
      <c r="EZ8" s="138">
        <v>13393</v>
      </c>
      <c r="FA8" s="138">
        <v>10650</v>
      </c>
      <c r="FB8" s="138">
        <v>2743</v>
      </c>
      <c r="FC8" s="138">
        <v>0</v>
      </c>
      <c r="FD8" s="138">
        <v>12874</v>
      </c>
      <c r="FE8" s="138">
        <v>10759</v>
      </c>
      <c r="FF8" s="138">
        <v>2115</v>
      </c>
      <c r="FG8" s="138">
        <v>0</v>
      </c>
      <c r="FH8" s="138">
        <v>12702</v>
      </c>
      <c r="FI8" s="138">
        <v>9918</v>
      </c>
      <c r="FJ8" s="138">
        <v>2784</v>
      </c>
      <c r="FK8" s="138">
        <v>0</v>
      </c>
      <c r="FL8" s="147">
        <v>3134</v>
      </c>
      <c r="FM8" s="147">
        <v>3559.9438652766644</v>
      </c>
      <c r="FO8" s="181">
        <f t="shared" si="0"/>
        <v>787.3086419753087</v>
      </c>
      <c r="FP8" s="179">
        <f t="shared" si="1"/>
        <v>157.7456706021456</v>
      </c>
      <c r="FR8" s="184"/>
      <c r="FV8" s="184">
        <v>699</v>
      </c>
      <c r="FW8" s="2">
        <f t="shared" si="2"/>
        <v>-699</v>
      </c>
    </row>
    <row r="9" spans="1:179" ht="12.75">
      <c r="A9" s="82">
        <v>19</v>
      </c>
      <c r="B9" s="80" t="s">
        <v>7</v>
      </c>
      <c r="C9" s="191">
        <v>3975</v>
      </c>
      <c r="D9" s="146"/>
      <c r="E9" s="150">
        <v>0.4494163424124514</v>
      </c>
      <c r="F9" s="150">
        <v>64.9</v>
      </c>
      <c r="G9" s="151">
        <v>-2543</v>
      </c>
      <c r="H9" s="152"/>
      <c r="I9" s="152"/>
      <c r="J9" s="152"/>
      <c r="K9" s="150">
        <v>25.1</v>
      </c>
      <c r="L9" s="151">
        <v>212</v>
      </c>
      <c r="M9" s="151">
        <v>14</v>
      </c>
      <c r="N9" s="154">
        <v>5500.377358490567</v>
      </c>
      <c r="O9" s="146">
        <v>6671</v>
      </c>
      <c r="P9" s="139">
        <v>2366</v>
      </c>
      <c r="Q9" s="139">
        <v>19681</v>
      </c>
      <c r="R9" s="139">
        <v>-17315</v>
      </c>
      <c r="S9" s="146">
        <v>12415</v>
      </c>
      <c r="T9" s="139">
        <v>5082</v>
      </c>
      <c r="U9" s="160"/>
      <c r="W9" s="138">
        <v>-211</v>
      </c>
      <c r="X9" s="138">
        <v>70</v>
      </c>
      <c r="Y9" s="139">
        <v>41</v>
      </c>
      <c r="Z9" s="138">
        <v>581</v>
      </c>
      <c r="AA9" s="139">
        <v>15</v>
      </c>
      <c r="AC9" s="139">
        <v>-525</v>
      </c>
      <c r="AD9" s="139">
        <v>27</v>
      </c>
      <c r="AG9" s="139">
        <v>-498</v>
      </c>
      <c r="AH9" s="139">
        <v>-909</v>
      </c>
      <c r="AI9" s="139">
        <v>-85</v>
      </c>
      <c r="AJ9" s="176"/>
      <c r="AK9" s="139">
        <v>467</v>
      </c>
      <c r="AL9" s="151">
        <v>-607</v>
      </c>
      <c r="AM9" s="151">
        <v>-1073</v>
      </c>
      <c r="AN9" s="146">
        <v>12415</v>
      </c>
      <c r="AO9" s="139">
        <v>11344</v>
      </c>
      <c r="AP9" s="139">
        <v>575</v>
      </c>
      <c r="AQ9" s="139">
        <v>496</v>
      </c>
      <c r="AR9" s="114">
        <v>20.25</v>
      </c>
      <c r="AS9" s="152"/>
      <c r="AT9" s="138">
        <v>280</v>
      </c>
      <c r="AU9" s="191">
        <v>3971</v>
      </c>
      <c r="AV9" s="146"/>
      <c r="AW9" s="150">
        <v>-1.1086309523809523</v>
      </c>
      <c r="AX9" s="150">
        <v>79.5</v>
      </c>
      <c r="AY9" s="151">
        <v>-3172</v>
      </c>
      <c r="AZ9" s="152"/>
      <c r="BA9" s="152"/>
      <c r="BB9" s="152"/>
      <c r="BC9" s="150">
        <v>15</v>
      </c>
      <c r="BD9" s="151">
        <v>360</v>
      </c>
      <c r="BE9" s="151">
        <v>22</v>
      </c>
      <c r="BF9" s="154">
        <v>5883.404683958701</v>
      </c>
      <c r="BG9" s="146">
        <v>7079</v>
      </c>
      <c r="BH9" s="139">
        <v>2650</v>
      </c>
      <c r="BI9" s="139">
        <v>20866</v>
      </c>
      <c r="BJ9" s="139">
        <v>-18216</v>
      </c>
      <c r="BK9" s="146">
        <v>12035</v>
      </c>
      <c r="BL9" s="146">
        <v>5368</v>
      </c>
      <c r="BM9" s="160"/>
      <c r="BO9" s="138">
        <v>-187</v>
      </c>
      <c r="BP9" s="138">
        <v>65</v>
      </c>
      <c r="BQ9" s="139">
        <v>-935</v>
      </c>
      <c r="BR9" s="138">
        <v>619</v>
      </c>
      <c r="BS9" s="139">
        <v>15</v>
      </c>
      <c r="BU9" s="139">
        <v>-1539</v>
      </c>
      <c r="BV9" s="139">
        <v>27</v>
      </c>
      <c r="BY9" s="138">
        <v>-1512</v>
      </c>
      <c r="BZ9" s="139">
        <v>-2420</v>
      </c>
      <c r="CA9" s="139">
        <v>-1104</v>
      </c>
      <c r="CB9" s="176"/>
      <c r="CC9" s="139">
        <v>33</v>
      </c>
      <c r="CD9" s="151">
        <v>-482</v>
      </c>
      <c r="CE9" s="151">
        <v>-2530</v>
      </c>
      <c r="CF9" s="138">
        <v>12035</v>
      </c>
      <c r="CG9" s="139">
        <v>11291</v>
      </c>
      <c r="CH9" s="139">
        <v>237</v>
      </c>
      <c r="CI9" s="139">
        <v>507</v>
      </c>
      <c r="CJ9" s="114">
        <v>20.25</v>
      </c>
      <c r="CK9" s="152"/>
      <c r="CL9" s="138">
        <v>311</v>
      </c>
      <c r="CM9" s="190">
        <v>3962</v>
      </c>
      <c r="CN9" s="146"/>
      <c r="CO9" s="150">
        <v>1.0578313253012048</v>
      </c>
      <c r="CP9" s="150">
        <v>71.18982405645049</v>
      </c>
      <c r="CQ9" s="151">
        <v>-3249.87380111055</v>
      </c>
      <c r="CR9" s="152"/>
      <c r="CS9" s="152"/>
      <c r="CT9" s="152"/>
      <c r="CU9" s="150">
        <v>15.995030250648227</v>
      </c>
      <c r="CV9" s="151">
        <v>304.1393235739526</v>
      </c>
      <c r="CW9" s="151">
        <v>19.422609847648488</v>
      </c>
      <c r="CX9" s="154">
        <v>5715.547703180212</v>
      </c>
      <c r="CY9" s="146">
        <v>7070</v>
      </c>
      <c r="CZ9" s="139">
        <v>2332</v>
      </c>
      <c r="DA9" s="139">
        <v>20688</v>
      </c>
      <c r="DB9" s="139">
        <v>-18356</v>
      </c>
      <c r="DC9" s="146">
        <v>13501</v>
      </c>
      <c r="DD9" s="146">
        <v>5708</v>
      </c>
      <c r="DE9" s="160"/>
      <c r="DG9" s="138">
        <v>-108</v>
      </c>
      <c r="DH9" s="138">
        <v>24</v>
      </c>
      <c r="DI9" s="139">
        <v>769</v>
      </c>
      <c r="DJ9" s="138">
        <v>647</v>
      </c>
      <c r="DK9" s="139"/>
      <c r="DM9" s="139">
        <v>122</v>
      </c>
      <c r="DN9" s="139">
        <v>28</v>
      </c>
      <c r="DQ9" s="138">
        <v>150</v>
      </c>
      <c r="DR9" s="139">
        <v>-2271</v>
      </c>
      <c r="DS9" s="139">
        <v>671</v>
      </c>
      <c r="DT9" s="176"/>
      <c r="DU9" s="139">
        <v>654</v>
      </c>
      <c r="DV9" s="151">
        <v>-721</v>
      </c>
      <c r="DW9" s="138">
        <v>-277</v>
      </c>
      <c r="DX9" s="138">
        <v>13501</v>
      </c>
      <c r="DY9" s="146">
        <v>12683</v>
      </c>
      <c r="DZ9" s="196">
        <v>283</v>
      </c>
      <c r="EA9" s="146">
        <v>535</v>
      </c>
      <c r="EB9" s="114">
        <v>21</v>
      </c>
      <c r="EC9" s="152"/>
      <c r="ED9" s="138">
        <v>201</v>
      </c>
      <c r="EE9" s="138">
        <v>10767</v>
      </c>
      <c r="EF9" s="138">
        <v>11280</v>
      </c>
      <c r="EG9" s="138">
        <v>11236</v>
      </c>
      <c r="EH9" s="138"/>
      <c r="EI9" s="138">
        <v>500</v>
      </c>
      <c r="EJ9" s="138">
        <v>515</v>
      </c>
      <c r="EK9" s="3">
        <v>-1227</v>
      </c>
      <c r="EL9" s="138">
        <v>11</v>
      </c>
      <c r="EM9" s="138">
        <v>228</v>
      </c>
      <c r="EN9" s="3">
        <v>-1822</v>
      </c>
      <c r="EO9" s="138">
        <v>62</v>
      </c>
      <c r="EP9" s="138">
        <v>334</v>
      </c>
      <c r="EQ9" s="3">
        <v>-1118</v>
      </c>
      <c r="ER9" s="138">
        <v>13</v>
      </c>
      <c r="ES9" s="138">
        <v>157</v>
      </c>
      <c r="ET9" s="163">
        <v>2500</v>
      </c>
      <c r="EU9" s="163">
        <v>-1750</v>
      </c>
      <c r="EV9" s="138"/>
      <c r="EW9" s="138">
        <v>3400</v>
      </c>
      <c r="EX9" s="138"/>
      <c r="EY9" s="138">
        <v>-60</v>
      </c>
      <c r="EZ9" s="138">
        <v>11138</v>
      </c>
      <c r="FA9" s="138">
        <v>6566</v>
      </c>
      <c r="FB9" s="138">
        <v>4572</v>
      </c>
      <c r="FC9" s="138">
        <v>0</v>
      </c>
      <c r="FD9" s="138">
        <v>14056</v>
      </c>
      <c r="FE9" s="138">
        <v>5845</v>
      </c>
      <c r="FF9" s="138">
        <v>8211</v>
      </c>
      <c r="FG9" s="138">
        <v>0</v>
      </c>
      <c r="FH9" s="138">
        <v>13274</v>
      </c>
      <c r="FI9" s="138">
        <v>5123</v>
      </c>
      <c r="FJ9" s="138">
        <v>8151</v>
      </c>
      <c r="FK9" s="138">
        <v>0</v>
      </c>
      <c r="FL9" s="147">
        <v>3713</v>
      </c>
      <c r="FM9" s="147">
        <v>4532.359607151851</v>
      </c>
      <c r="FO9" s="181">
        <f t="shared" si="0"/>
        <v>603.952380952381</v>
      </c>
      <c r="FP9" s="179">
        <f t="shared" si="1"/>
        <v>152.43623951347323</v>
      </c>
      <c r="FR9" s="184"/>
      <c r="FV9" s="184">
        <v>607</v>
      </c>
      <c r="FW9" s="2">
        <f t="shared" si="2"/>
        <v>-607</v>
      </c>
    </row>
    <row r="10" spans="1:179" ht="12.75">
      <c r="A10" s="82">
        <v>46</v>
      </c>
      <c r="B10" s="80" t="s">
        <v>8</v>
      </c>
      <c r="C10" s="191">
        <v>1566</v>
      </c>
      <c r="D10" s="146"/>
      <c r="E10" s="150">
        <v>6.936507936507937</v>
      </c>
      <c r="F10" s="150">
        <v>10.5</v>
      </c>
      <c r="G10" s="151">
        <v>1526</v>
      </c>
      <c r="H10" s="152"/>
      <c r="I10" s="152"/>
      <c r="J10" s="152"/>
      <c r="K10" s="150">
        <v>88.9</v>
      </c>
      <c r="L10" s="151">
        <v>1999</v>
      </c>
      <c r="M10" s="151">
        <v>100</v>
      </c>
      <c r="N10" s="154">
        <v>7266.922094508302</v>
      </c>
      <c r="O10" s="146">
        <v>4130</v>
      </c>
      <c r="P10" s="139">
        <v>2236</v>
      </c>
      <c r="Q10" s="139">
        <v>10672</v>
      </c>
      <c r="R10" s="139">
        <v>-8436</v>
      </c>
      <c r="S10" s="146">
        <v>4124</v>
      </c>
      <c r="T10" s="139">
        <v>4644</v>
      </c>
      <c r="U10" s="160"/>
      <c r="W10" s="138">
        <v>39</v>
      </c>
      <c r="X10" s="138">
        <v>66</v>
      </c>
      <c r="Y10" s="139">
        <v>437</v>
      </c>
      <c r="Z10" s="138">
        <v>400</v>
      </c>
      <c r="AC10" s="139">
        <v>37</v>
      </c>
      <c r="AF10" s="139">
        <v>-1</v>
      </c>
      <c r="AG10" s="139">
        <v>36</v>
      </c>
      <c r="AH10" s="139">
        <v>4502</v>
      </c>
      <c r="AI10" s="139">
        <v>403</v>
      </c>
      <c r="AJ10" s="176"/>
      <c r="AK10" s="138">
        <v>-26</v>
      </c>
      <c r="AL10" s="151">
        <v>-63</v>
      </c>
      <c r="AM10" s="151">
        <v>-102</v>
      </c>
      <c r="AN10" s="146">
        <v>4124</v>
      </c>
      <c r="AO10" s="139">
        <v>3307</v>
      </c>
      <c r="AP10" s="139">
        <v>542</v>
      </c>
      <c r="AQ10" s="139">
        <v>275</v>
      </c>
      <c r="AR10" s="114">
        <v>19.75</v>
      </c>
      <c r="AS10" s="152"/>
      <c r="AT10" s="138">
        <v>141</v>
      </c>
      <c r="AU10" s="191">
        <v>1532</v>
      </c>
      <c r="AV10" s="146"/>
      <c r="AX10" s="150">
        <v>11.3</v>
      </c>
      <c r="AY10" s="151">
        <v>1324</v>
      </c>
      <c r="AZ10" s="152"/>
      <c r="BA10" s="152"/>
      <c r="BB10" s="152"/>
      <c r="BC10" s="150">
        <v>87.7</v>
      </c>
      <c r="BD10" s="151">
        <v>1985</v>
      </c>
      <c r="BE10" s="151">
        <v>97</v>
      </c>
      <c r="BF10" s="154">
        <v>7500.652741514361</v>
      </c>
      <c r="BG10" s="146">
        <v>4245</v>
      </c>
      <c r="BH10" s="139">
        <v>2144</v>
      </c>
      <c r="BI10" s="139">
        <v>11209</v>
      </c>
      <c r="BJ10" s="139">
        <v>-9065</v>
      </c>
      <c r="BK10" s="146">
        <v>3995</v>
      </c>
      <c r="BL10" s="146">
        <v>4875</v>
      </c>
      <c r="BM10" s="160"/>
      <c r="BO10" s="138">
        <v>45</v>
      </c>
      <c r="BP10" s="138">
        <v>58</v>
      </c>
      <c r="BQ10" s="139">
        <v>-92</v>
      </c>
      <c r="BR10" s="138">
        <v>300</v>
      </c>
      <c r="BT10" s="138">
        <v>68</v>
      </c>
      <c r="BU10" s="139">
        <v>-460</v>
      </c>
      <c r="BX10" s="139">
        <v>-7</v>
      </c>
      <c r="BY10" s="138">
        <v>-467</v>
      </c>
      <c r="BZ10" s="139">
        <v>4035</v>
      </c>
      <c r="CA10" s="139">
        <v>-190</v>
      </c>
      <c r="CB10" s="176"/>
      <c r="CC10" s="138">
        <v>185</v>
      </c>
      <c r="CD10" s="151">
        <v>0</v>
      </c>
      <c r="CE10" s="151">
        <v>-418</v>
      </c>
      <c r="CF10" s="138">
        <v>3995</v>
      </c>
      <c r="CG10" s="139">
        <v>3357</v>
      </c>
      <c r="CH10" s="139">
        <v>354</v>
      </c>
      <c r="CI10" s="139">
        <v>284</v>
      </c>
      <c r="CJ10" s="114">
        <v>19.75</v>
      </c>
      <c r="CK10" s="152"/>
      <c r="CL10" s="138">
        <v>271</v>
      </c>
      <c r="CM10" s="190">
        <v>1522</v>
      </c>
      <c r="CN10" s="146"/>
      <c r="CO10" s="150">
        <v>6.872</v>
      </c>
      <c r="CP10" s="150">
        <v>15.714408454334565</v>
      </c>
      <c r="CQ10" s="151">
        <v>632.0630749014455</v>
      </c>
      <c r="CR10" s="152"/>
      <c r="CS10" s="152"/>
      <c r="CT10" s="152"/>
      <c r="CU10" s="150">
        <v>83.73340367537149</v>
      </c>
      <c r="CV10" s="151">
        <v>1687.910643889619</v>
      </c>
      <c r="CW10" s="151">
        <v>72.55939023446568</v>
      </c>
      <c r="CX10" s="154">
        <v>8490.801576872536</v>
      </c>
      <c r="CY10" s="146">
        <v>4278</v>
      </c>
      <c r="CZ10" s="139">
        <v>2197</v>
      </c>
      <c r="DA10" s="139">
        <v>10890</v>
      </c>
      <c r="DB10" s="139">
        <v>-8693</v>
      </c>
      <c r="DC10" s="146">
        <v>4238</v>
      </c>
      <c r="DD10" s="146">
        <v>5204</v>
      </c>
      <c r="DE10" s="160"/>
      <c r="DG10" s="138">
        <v>32</v>
      </c>
      <c r="DH10" s="138">
        <v>73</v>
      </c>
      <c r="DI10" s="139">
        <v>854</v>
      </c>
      <c r="DJ10" s="138">
        <v>331</v>
      </c>
      <c r="DL10" s="138">
        <v>44</v>
      </c>
      <c r="DM10" s="139">
        <v>479</v>
      </c>
      <c r="DP10" s="139">
        <v>-1</v>
      </c>
      <c r="DQ10" s="138">
        <v>478</v>
      </c>
      <c r="DR10" s="139">
        <v>4513</v>
      </c>
      <c r="DS10" s="139">
        <v>809</v>
      </c>
      <c r="DT10" s="176"/>
      <c r="DU10" s="138">
        <v>7</v>
      </c>
      <c r="DV10" s="151">
        <v>-120</v>
      </c>
      <c r="DW10" s="138">
        <v>-1087</v>
      </c>
      <c r="DX10" s="138">
        <v>4238</v>
      </c>
      <c r="DY10" s="146">
        <v>3478</v>
      </c>
      <c r="DZ10" s="196">
        <v>432</v>
      </c>
      <c r="EA10" s="146">
        <v>328</v>
      </c>
      <c r="EB10" s="114">
        <v>20.5</v>
      </c>
      <c r="EC10" s="152"/>
      <c r="ED10" s="138">
        <v>39</v>
      </c>
      <c r="EE10" s="138">
        <v>4897</v>
      </c>
      <c r="EF10" s="138">
        <v>5377</v>
      </c>
      <c r="EG10" s="138">
        <v>5024</v>
      </c>
      <c r="EH10" s="138"/>
      <c r="EI10" s="138"/>
      <c r="EJ10" s="138"/>
      <c r="EK10" s="3">
        <v>-640</v>
      </c>
      <c r="EL10" s="138"/>
      <c r="EM10" s="138">
        <v>136</v>
      </c>
      <c r="EN10" s="3">
        <v>-282</v>
      </c>
      <c r="EO10" s="138"/>
      <c r="EP10" s="138">
        <v>54</v>
      </c>
      <c r="EQ10" s="3">
        <v>-1903</v>
      </c>
      <c r="ES10" s="138">
        <v>7</v>
      </c>
      <c r="ET10" s="163"/>
      <c r="EU10" s="163"/>
      <c r="EV10" s="138"/>
      <c r="EW10" s="138"/>
      <c r="EX10" s="138">
        <v>800</v>
      </c>
      <c r="EY10" s="138">
        <v>80</v>
      </c>
      <c r="EZ10" s="138">
        <v>0</v>
      </c>
      <c r="FA10" s="138">
        <v>0</v>
      </c>
      <c r="FB10" s="138">
        <v>0</v>
      </c>
      <c r="FC10" s="138">
        <v>665</v>
      </c>
      <c r="FD10" s="138">
        <v>0</v>
      </c>
      <c r="FE10" s="138">
        <v>0</v>
      </c>
      <c r="FF10" s="138">
        <v>0</v>
      </c>
      <c r="FG10" s="138">
        <v>643</v>
      </c>
      <c r="FH10" s="138">
        <v>760</v>
      </c>
      <c r="FI10" s="138">
        <v>680</v>
      </c>
      <c r="FJ10" s="138">
        <v>80</v>
      </c>
      <c r="FK10" s="138">
        <v>631</v>
      </c>
      <c r="FL10" s="147">
        <v>1610</v>
      </c>
      <c r="FM10" s="147">
        <v>1648.1723237597912</v>
      </c>
      <c r="FO10" s="181">
        <f t="shared" si="0"/>
        <v>169.65853658536585</v>
      </c>
      <c r="FP10" s="179">
        <f t="shared" si="1"/>
        <v>111.47078619275024</v>
      </c>
      <c r="FR10" s="184"/>
      <c r="FV10" s="184">
        <v>63</v>
      </c>
      <c r="FW10" s="2">
        <f t="shared" si="2"/>
        <v>-63</v>
      </c>
    </row>
    <row r="11" spans="1:179" ht="12.75">
      <c r="A11" s="82">
        <v>47</v>
      </c>
      <c r="B11" s="80" t="s">
        <v>9</v>
      </c>
      <c r="C11" s="191">
        <v>1893</v>
      </c>
      <c r="D11" s="146"/>
      <c r="E11" s="150">
        <v>0.8394230769230769</v>
      </c>
      <c r="F11" s="150">
        <v>35.4</v>
      </c>
      <c r="G11" s="151">
        <v>-2424</v>
      </c>
      <c r="H11" s="152"/>
      <c r="I11" s="152"/>
      <c r="J11" s="152"/>
      <c r="K11" s="150">
        <v>52.5</v>
      </c>
      <c r="L11" s="151">
        <v>102</v>
      </c>
      <c r="M11" s="151">
        <v>4</v>
      </c>
      <c r="N11" s="154">
        <v>9041.732699418912</v>
      </c>
      <c r="O11" s="146">
        <v>6235</v>
      </c>
      <c r="P11" s="139">
        <v>2745</v>
      </c>
      <c r="Q11" s="139">
        <v>15316</v>
      </c>
      <c r="R11" s="139">
        <v>-12571</v>
      </c>
      <c r="S11" s="146">
        <v>4898</v>
      </c>
      <c r="T11" s="139">
        <v>7948</v>
      </c>
      <c r="U11" s="160"/>
      <c r="W11" s="138">
        <v>-166</v>
      </c>
      <c r="X11" s="138">
        <v>598</v>
      </c>
      <c r="Y11" s="139">
        <v>707</v>
      </c>
      <c r="Z11" s="138">
        <v>317</v>
      </c>
      <c r="AB11" s="138">
        <v>251</v>
      </c>
      <c r="AC11" s="139">
        <v>139</v>
      </c>
      <c r="AG11" s="139">
        <v>139</v>
      </c>
      <c r="AH11" s="139">
        <v>46</v>
      </c>
      <c r="AI11" s="139">
        <v>456</v>
      </c>
      <c r="AJ11" s="176"/>
      <c r="AK11" s="139">
        <v>-144</v>
      </c>
      <c r="AL11" s="151">
        <v>-874</v>
      </c>
      <c r="AM11" s="151">
        <v>-5</v>
      </c>
      <c r="AN11" s="146">
        <v>4898</v>
      </c>
      <c r="AO11" s="139">
        <v>4035</v>
      </c>
      <c r="AP11" s="139">
        <v>357</v>
      </c>
      <c r="AQ11" s="139">
        <v>506</v>
      </c>
      <c r="AR11" s="114">
        <v>20.5</v>
      </c>
      <c r="AS11" s="152"/>
      <c r="AT11" s="138">
        <v>83</v>
      </c>
      <c r="AU11" s="191">
        <v>1880</v>
      </c>
      <c r="AV11" s="146"/>
      <c r="AW11" s="150">
        <v>0.6163342830009497</v>
      </c>
      <c r="AX11" s="150">
        <v>35</v>
      </c>
      <c r="AY11" s="151">
        <v>-2528</v>
      </c>
      <c r="AZ11" s="152"/>
      <c r="BA11" s="152"/>
      <c r="BB11" s="152"/>
      <c r="BC11" s="150">
        <v>52.4</v>
      </c>
      <c r="BD11" s="151">
        <v>254</v>
      </c>
      <c r="BE11" s="151">
        <v>9</v>
      </c>
      <c r="BF11" s="154">
        <v>9775.531914893618</v>
      </c>
      <c r="BG11" s="146">
        <v>6565</v>
      </c>
      <c r="BH11" s="139">
        <v>2671</v>
      </c>
      <c r="BI11" s="139">
        <v>16242</v>
      </c>
      <c r="BJ11" s="139">
        <v>-13571</v>
      </c>
      <c r="BK11" s="146">
        <v>5386</v>
      </c>
      <c r="BL11" s="146">
        <v>8387</v>
      </c>
      <c r="BM11" s="160"/>
      <c r="BO11" s="138">
        <v>-155</v>
      </c>
      <c r="BP11" s="138">
        <v>447</v>
      </c>
      <c r="BQ11" s="139">
        <v>494</v>
      </c>
      <c r="BR11" s="138">
        <v>293</v>
      </c>
      <c r="BS11" s="138">
        <v>144</v>
      </c>
      <c r="BT11" s="138">
        <v>146</v>
      </c>
      <c r="BU11" s="139">
        <v>199</v>
      </c>
      <c r="BY11" s="138">
        <v>199</v>
      </c>
      <c r="BZ11" s="139">
        <v>245</v>
      </c>
      <c r="CA11" s="139">
        <v>492</v>
      </c>
      <c r="CB11" s="176"/>
      <c r="CC11" s="139">
        <v>216</v>
      </c>
      <c r="CD11" s="151">
        <v>-898</v>
      </c>
      <c r="CE11" s="151">
        <v>-185</v>
      </c>
      <c r="CF11" s="138">
        <v>5386</v>
      </c>
      <c r="CG11" s="139">
        <v>4609</v>
      </c>
      <c r="CH11" s="139">
        <v>230</v>
      </c>
      <c r="CI11" s="139">
        <v>547</v>
      </c>
      <c r="CJ11" s="114">
        <v>20.75</v>
      </c>
      <c r="CK11" s="152"/>
      <c r="CL11" s="138">
        <v>80</v>
      </c>
      <c r="CM11" s="190">
        <v>1891</v>
      </c>
      <c r="CN11" s="146"/>
      <c r="CO11" s="150">
        <v>0.24489795918367346</v>
      </c>
      <c r="CP11" s="150">
        <v>36.84495843874232</v>
      </c>
      <c r="CQ11" s="151">
        <v>-2776.8376520359598</v>
      </c>
      <c r="CR11" s="152"/>
      <c r="CS11" s="152"/>
      <c r="CT11" s="152"/>
      <c r="CU11" s="150">
        <v>50.337129157926285</v>
      </c>
      <c r="CV11" s="151">
        <v>37.017451084082495</v>
      </c>
      <c r="CW11" s="151">
        <v>1.3848238482384825</v>
      </c>
      <c r="CX11" s="154">
        <v>9756.742464304602</v>
      </c>
      <c r="CY11" s="146">
        <v>6639</v>
      </c>
      <c r="CZ11" s="139">
        <v>2594</v>
      </c>
      <c r="DA11" s="139">
        <v>16705</v>
      </c>
      <c r="DB11" s="139">
        <v>-14111</v>
      </c>
      <c r="DC11" s="146">
        <v>5676</v>
      </c>
      <c r="DD11" s="146">
        <v>8332</v>
      </c>
      <c r="DE11" s="160"/>
      <c r="DG11" s="138">
        <v>-125</v>
      </c>
      <c r="DH11" s="138">
        <v>331</v>
      </c>
      <c r="DI11" s="139">
        <v>103</v>
      </c>
      <c r="DJ11" s="138">
        <v>307</v>
      </c>
      <c r="DM11" s="139">
        <v>-204</v>
      </c>
      <c r="DQ11" s="138">
        <v>-204</v>
      </c>
      <c r="DR11" s="139">
        <v>41</v>
      </c>
      <c r="DS11" s="139">
        <v>103</v>
      </c>
      <c r="DT11" s="176"/>
      <c r="DU11" s="139">
        <v>-270</v>
      </c>
      <c r="DV11" s="151">
        <v>-806</v>
      </c>
      <c r="DW11" s="138">
        <v>-534</v>
      </c>
      <c r="DX11" s="138">
        <v>5676</v>
      </c>
      <c r="DY11" s="146">
        <v>4687</v>
      </c>
      <c r="DZ11" s="196">
        <v>282</v>
      </c>
      <c r="EA11" s="146">
        <v>707</v>
      </c>
      <c r="EB11" s="114">
        <v>20.75</v>
      </c>
      <c r="EC11" s="152"/>
      <c r="ED11" s="138">
        <v>261</v>
      </c>
      <c r="EE11" s="138">
        <v>7315</v>
      </c>
      <c r="EF11" s="138">
        <v>7614</v>
      </c>
      <c r="EG11" s="138">
        <v>7986</v>
      </c>
      <c r="EH11" s="138"/>
      <c r="EI11" s="138"/>
      <c r="EJ11" s="138"/>
      <c r="EK11" s="3">
        <v>-621</v>
      </c>
      <c r="EL11" s="138">
        <v>148</v>
      </c>
      <c r="EM11" s="138">
        <v>12</v>
      </c>
      <c r="EN11" s="3">
        <v>-908</v>
      </c>
      <c r="EO11" s="138">
        <v>74</v>
      </c>
      <c r="EP11" s="138">
        <v>157</v>
      </c>
      <c r="EQ11" s="3">
        <v>-637</v>
      </c>
      <c r="ET11" s="163">
        <v>1000</v>
      </c>
      <c r="EU11" s="163">
        <v>-42</v>
      </c>
      <c r="EV11" s="138">
        <v>1350</v>
      </c>
      <c r="EW11" s="138">
        <v>20</v>
      </c>
      <c r="EX11" s="138"/>
      <c r="EY11" s="138">
        <v>1063</v>
      </c>
      <c r="EZ11" s="138">
        <v>3966</v>
      </c>
      <c r="FA11" s="138">
        <v>3093</v>
      </c>
      <c r="FB11" s="138">
        <v>873</v>
      </c>
      <c r="FC11" s="138">
        <v>1834</v>
      </c>
      <c r="FD11" s="138">
        <v>4439</v>
      </c>
      <c r="FE11" s="138">
        <v>3536</v>
      </c>
      <c r="FF11" s="138">
        <v>903</v>
      </c>
      <c r="FG11" s="138">
        <v>1834</v>
      </c>
      <c r="FH11" s="138">
        <v>4695</v>
      </c>
      <c r="FI11" s="138">
        <v>2739</v>
      </c>
      <c r="FJ11" s="138">
        <v>1956</v>
      </c>
      <c r="FK11" s="138">
        <v>1834</v>
      </c>
      <c r="FL11" s="147">
        <v>4358</v>
      </c>
      <c r="FM11" s="147">
        <v>5614.893617021276</v>
      </c>
      <c r="FO11" s="181">
        <f t="shared" si="0"/>
        <v>225.87951807228916</v>
      </c>
      <c r="FP11" s="179">
        <f t="shared" si="1"/>
        <v>119.44977158767274</v>
      </c>
      <c r="FR11" s="184"/>
      <c r="FV11" s="184">
        <v>874</v>
      </c>
      <c r="FW11" s="2">
        <f t="shared" si="2"/>
        <v>-874</v>
      </c>
    </row>
    <row r="12" spans="1:179" ht="12.75">
      <c r="A12" s="82">
        <v>49</v>
      </c>
      <c r="B12" s="80" t="s">
        <v>10</v>
      </c>
      <c r="C12" s="191">
        <v>252439</v>
      </c>
      <c r="D12" s="146"/>
      <c r="E12" s="150">
        <v>2.4490751739351775</v>
      </c>
      <c r="F12" s="150">
        <v>23.9</v>
      </c>
      <c r="G12" s="151">
        <v>1837</v>
      </c>
      <c r="H12" s="152"/>
      <c r="I12" s="152"/>
      <c r="J12" s="152"/>
      <c r="K12" s="150">
        <v>86.5</v>
      </c>
      <c r="L12" s="151">
        <v>2435</v>
      </c>
      <c r="M12" s="151">
        <v>134</v>
      </c>
      <c r="N12" s="154">
        <v>6609.0936820380375</v>
      </c>
      <c r="O12" s="146">
        <v>579232</v>
      </c>
      <c r="P12" s="139">
        <v>299748</v>
      </c>
      <c r="Q12" s="139">
        <v>1438875</v>
      </c>
      <c r="R12" s="139">
        <v>-1139127</v>
      </c>
      <c r="S12" s="146">
        <v>1231449</v>
      </c>
      <c r="T12" s="139">
        <v>30920</v>
      </c>
      <c r="U12" s="160"/>
      <c r="W12" s="138">
        <v>11910</v>
      </c>
      <c r="X12" s="138">
        <v>5421</v>
      </c>
      <c r="Y12" s="139">
        <v>140573</v>
      </c>
      <c r="Z12" s="138">
        <v>95917</v>
      </c>
      <c r="AB12" s="139"/>
      <c r="AC12" s="139">
        <v>44656</v>
      </c>
      <c r="AD12" s="139">
        <v>4085</v>
      </c>
      <c r="AE12" s="139"/>
      <c r="AF12" s="139">
        <v>-2428</v>
      </c>
      <c r="AG12" s="139">
        <v>46313</v>
      </c>
      <c r="AH12" s="139">
        <v>972216</v>
      </c>
      <c r="AI12" s="139">
        <v>101105</v>
      </c>
      <c r="AJ12" s="176"/>
      <c r="AK12" s="138">
        <v>-52169</v>
      </c>
      <c r="AL12" s="151">
        <v>-55179</v>
      </c>
      <c r="AM12" s="151">
        <v>-20193</v>
      </c>
      <c r="AN12" s="146">
        <v>1231449</v>
      </c>
      <c r="AO12" s="139">
        <v>1023609</v>
      </c>
      <c r="AP12" s="139">
        <v>144527</v>
      </c>
      <c r="AQ12" s="139">
        <v>63312</v>
      </c>
      <c r="AR12" s="114">
        <v>17.75</v>
      </c>
      <c r="AS12" s="152"/>
      <c r="AT12" s="138">
        <v>26</v>
      </c>
      <c r="AU12" s="191">
        <v>256824</v>
      </c>
      <c r="AV12" s="146"/>
      <c r="AW12" s="150">
        <v>5.500851095322676</v>
      </c>
      <c r="AX12" s="150">
        <v>24.2</v>
      </c>
      <c r="AY12" s="151">
        <v>1636</v>
      </c>
      <c r="AZ12" s="152"/>
      <c r="BA12" s="152"/>
      <c r="BB12" s="152"/>
      <c r="BC12" s="150">
        <v>86.3</v>
      </c>
      <c r="BD12" s="151">
        <v>2425</v>
      </c>
      <c r="BE12" s="151">
        <v>133</v>
      </c>
      <c r="BF12" s="154">
        <v>6672.553966918979</v>
      </c>
      <c r="BG12" s="146">
        <v>591800</v>
      </c>
      <c r="BH12" s="139">
        <v>316566</v>
      </c>
      <c r="BI12" s="139">
        <v>1512833</v>
      </c>
      <c r="BJ12" s="139">
        <v>-1196267</v>
      </c>
      <c r="BK12" s="146">
        <v>1249323</v>
      </c>
      <c r="BL12" s="146">
        <v>47526</v>
      </c>
      <c r="BM12" s="160"/>
      <c r="BO12" s="138">
        <v>11811</v>
      </c>
      <c r="BP12" s="138">
        <v>33091</v>
      </c>
      <c r="BQ12" s="139">
        <v>145484</v>
      </c>
      <c r="BR12" s="138">
        <v>118843</v>
      </c>
      <c r="BT12" s="139"/>
      <c r="BU12" s="139">
        <v>26641</v>
      </c>
      <c r="BV12" s="139">
        <v>4167</v>
      </c>
      <c r="BW12" s="139"/>
      <c r="BX12" s="139">
        <v>-4728</v>
      </c>
      <c r="BY12" s="138">
        <v>26080</v>
      </c>
      <c r="BZ12" s="139">
        <v>325462</v>
      </c>
      <c r="CA12" s="139">
        <v>117782</v>
      </c>
      <c r="CB12" s="176"/>
      <c r="CC12" s="138">
        <v>37261</v>
      </c>
      <c r="CD12" s="151">
        <v>-23853</v>
      </c>
      <c r="CE12" s="151">
        <v>-30629</v>
      </c>
      <c r="CF12" s="138">
        <v>1249323</v>
      </c>
      <c r="CG12" s="139">
        <v>1067500</v>
      </c>
      <c r="CH12" s="139">
        <v>116129</v>
      </c>
      <c r="CI12" s="139">
        <v>65694</v>
      </c>
      <c r="CJ12" s="114">
        <v>17.75</v>
      </c>
      <c r="CK12" s="152"/>
      <c r="CL12" s="138">
        <v>14</v>
      </c>
      <c r="CM12" s="190">
        <v>260753</v>
      </c>
      <c r="CN12" s="146"/>
      <c r="CO12" s="150">
        <v>2.5564503828437206</v>
      </c>
      <c r="CP12" s="150">
        <v>33.707394695711095</v>
      </c>
      <c r="CQ12" s="151">
        <v>1498.364352471496</v>
      </c>
      <c r="CR12" s="152"/>
      <c r="CS12" s="152"/>
      <c r="CT12" s="152"/>
      <c r="CU12" s="150">
        <v>81.62640207075064</v>
      </c>
      <c r="CV12" s="151">
        <v>3000.306803756812</v>
      </c>
      <c r="CW12" s="151">
        <v>157.08736980155155</v>
      </c>
      <c r="CX12" s="154">
        <v>6971.356034254639</v>
      </c>
      <c r="CY12" s="146">
        <v>613558</v>
      </c>
      <c r="CZ12" s="139">
        <v>328504</v>
      </c>
      <c r="DA12" s="139">
        <v>1573805</v>
      </c>
      <c r="DB12" s="139">
        <v>-1245301</v>
      </c>
      <c r="DC12" s="146">
        <v>1307153</v>
      </c>
      <c r="DD12" s="146">
        <v>40485</v>
      </c>
      <c r="DE12" s="160"/>
      <c r="DG12" s="138">
        <v>11789</v>
      </c>
      <c r="DH12" s="138">
        <v>50648</v>
      </c>
      <c r="DI12" s="139">
        <v>164774</v>
      </c>
      <c r="DJ12" s="138">
        <v>108677</v>
      </c>
      <c r="DL12" s="139"/>
      <c r="DM12" s="139">
        <v>56097</v>
      </c>
      <c r="DN12" s="139">
        <v>-35686</v>
      </c>
      <c r="DO12" s="139"/>
      <c r="DP12" s="139">
        <v>35080</v>
      </c>
      <c r="DQ12" s="138">
        <v>55491</v>
      </c>
      <c r="DR12" s="139">
        <v>366060</v>
      </c>
      <c r="DS12" s="139">
        <v>129993</v>
      </c>
      <c r="DT12" s="176"/>
      <c r="DU12" s="138">
        <v>24636</v>
      </c>
      <c r="DV12" s="151">
        <v>-62730</v>
      </c>
      <c r="DW12" s="138">
        <v>-12258</v>
      </c>
      <c r="DX12" s="138">
        <v>1307153</v>
      </c>
      <c r="DY12" s="146">
        <v>1129132</v>
      </c>
      <c r="DZ12" s="196">
        <v>108968</v>
      </c>
      <c r="EA12" s="146">
        <v>69053</v>
      </c>
      <c r="EB12" s="114">
        <v>17.75</v>
      </c>
      <c r="EC12" s="152"/>
      <c r="ED12" s="138">
        <v>27</v>
      </c>
      <c r="EE12" s="138">
        <v>615087</v>
      </c>
      <c r="EF12" s="138">
        <v>660235</v>
      </c>
      <c r="EG12" s="138">
        <v>685761</v>
      </c>
      <c r="EH12" s="138"/>
      <c r="EI12" s="138"/>
      <c r="EJ12" s="138"/>
      <c r="EK12" s="3">
        <v>-197062</v>
      </c>
      <c r="EL12" s="138">
        <v>31936</v>
      </c>
      <c r="EM12" s="138">
        <v>43829</v>
      </c>
      <c r="EN12" s="3">
        <v>-217543</v>
      </c>
      <c r="EO12" s="138">
        <v>39176</v>
      </c>
      <c r="EP12" s="138">
        <v>29957</v>
      </c>
      <c r="EQ12" s="3">
        <v>-224938</v>
      </c>
      <c r="ER12" s="138">
        <v>45514</v>
      </c>
      <c r="ES12" s="138">
        <v>37173</v>
      </c>
      <c r="ET12" s="163"/>
      <c r="EU12" s="163"/>
      <c r="EV12" s="138">
        <v>22556</v>
      </c>
      <c r="EW12" s="138">
        <v>5005</v>
      </c>
      <c r="EX12" s="138">
        <v>116000</v>
      </c>
      <c r="EY12" s="138">
        <v>93207</v>
      </c>
      <c r="EZ12" s="138">
        <v>159709</v>
      </c>
      <c r="FA12" s="138">
        <v>134565</v>
      </c>
      <c r="FB12" s="138">
        <v>25144</v>
      </c>
      <c r="FC12" s="138">
        <v>286806</v>
      </c>
      <c r="FD12" s="138">
        <v>192187</v>
      </c>
      <c r="FE12" s="138">
        <v>100590</v>
      </c>
      <c r="FF12" s="138">
        <v>91597</v>
      </c>
      <c r="FG12" s="138">
        <v>287399</v>
      </c>
      <c r="FH12" s="138">
        <v>338665</v>
      </c>
      <c r="FI12" s="138">
        <v>174505</v>
      </c>
      <c r="FJ12" s="138">
        <v>164160</v>
      </c>
      <c r="FK12" s="138">
        <v>286656</v>
      </c>
      <c r="FL12" s="147">
        <v>5525</v>
      </c>
      <c r="FM12" s="147">
        <v>5953.216989066443</v>
      </c>
      <c r="FO12" s="181">
        <f t="shared" si="0"/>
        <v>63613.07042253521</v>
      </c>
      <c r="FP12" s="179">
        <f t="shared" si="1"/>
        <v>243.95911234975327</v>
      </c>
      <c r="FR12" s="184"/>
      <c r="FV12" s="184">
        <v>55179</v>
      </c>
      <c r="FW12" s="2">
        <f t="shared" si="2"/>
        <v>-55179</v>
      </c>
    </row>
    <row r="13" spans="1:179" ht="12.75">
      <c r="A13" s="82">
        <v>50</v>
      </c>
      <c r="B13" s="80" t="s">
        <v>11</v>
      </c>
      <c r="C13" s="191">
        <v>12424</v>
      </c>
      <c r="D13" s="146"/>
      <c r="E13" s="150">
        <v>2.9961904761904763</v>
      </c>
      <c r="F13" s="150">
        <v>29.8</v>
      </c>
      <c r="G13" s="151">
        <v>-1443</v>
      </c>
      <c r="H13" s="152"/>
      <c r="I13" s="152"/>
      <c r="J13" s="152"/>
      <c r="K13" s="150">
        <v>63</v>
      </c>
      <c r="L13" s="151">
        <v>89</v>
      </c>
      <c r="M13" s="151">
        <v>5</v>
      </c>
      <c r="N13" s="154">
        <v>6315.2768834513845</v>
      </c>
      <c r="O13" s="146">
        <v>32031</v>
      </c>
      <c r="P13" s="139">
        <v>11219</v>
      </c>
      <c r="Q13" s="139">
        <v>70807</v>
      </c>
      <c r="R13" s="139">
        <v>-59588</v>
      </c>
      <c r="S13" s="146">
        <v>38790</v>
      </c>
      <c r="T13" s="139">
        <v>23653</v>
      </c>
      <c r="U13" s="160"/>
      <c r="W13" s="138">
        <v>-162</v>
      </c>
      <c r="X13" s="138">
        <v>221</v>
      </c>
      <c r="Y13" s="139">
        <v>2914</v>
      </c>
      <c r="Z13" s="138">
        <v>2241</v>
      </c>
      <c r="AA13" s="138">
        <v>75</v>
      </c>
      <c r="AC13" s="139">
        <v>748</v>
      </c>
      <c r="AD13" s="138">
        <v>37</v>
      </c>
      <c r="AG13" s="139">
        <v>785</v>
      </c>
      <c r="AH13" s="139">
        <v>7564</v>
      </c>
      <c r="AI13" s="139">
        <v>2855</v>
      </c>
      <c r="AJ13" s="176"/>
      <c r="AK13" s="139">
        <v>474</v>
      </c>
      <c r="AL13" s="151">
        <v>-818</v>
      </c>
      <c r="AM13" s="151">
        <v>-3387</v>
      </c>
      <c r="AN13" s="146">
        <v>38790</v>
      </c>
      <c r="AO13" s="139">
        <v>34004</v>
      </c>
      <c r="AP13" s="139">
        <v>3036</v>
      </c>
      <c r="AQ13" s="139">
        <v>1750</v>
      </c>
      <c r="AR13" s="114">
        <v>19.5</v>
      </c>
      <c r="AS13" s="152"/>
      <c r="AT13" s="138">
        <v>172</v>
      </c>
      <c r="AU13" s="191">
        <v>12406</v>
      </c>
      <c r="AV13" s="146"/>
      <c r="AW13" s="150">
        <v>2.09716908951798</v>
      </c>
      <c r="AX13" s="150">
        <v>30</v>
      </c>
      <c r="AY13" s="151">
        <v>-1481</v>
      </c>
      <c r="AZ13" s="152"/>
      <c r="BA13" s="152"/>
      <c r="BB13" s="152"/>
      <c r="BC13" s="150">
        <v>62.5</v>
      </c>
      <c r="BD13" s="151">
        <v>52</v>
      </c>
      <c r="BE13" s="151">
        <v>3</v>
      </c>
      <c r="BF13" s="154">
        <v>6287.360954376914</v>
      </c>
      <c r="BG13" s="146">
        <v>32852</v>
      </c>
      <c r="BH13" s="139">
        <v>10322</v>
      </c>
      <c r="BI13" s="139">
        <v>73111</v>
      </c>
      <c r="BJ13" s="139">
        <v>-62789</v>
      </c>
      <c r="BK13" s="146">
        <v>41014</v>
      </c>
      <c r="BL13" s="146">
        <v>24334</v>
      </c>
      <c r="BM13" s="160"/>
      <c r="BO13" s="138">
        <v>-180</v>
      </c>
      <c r="BP13" s="138">
        <v>155</v>
      </c>
      <c r="BQ13" s="139">
        <v>2534</v>
      </c>
      <c r="BR13" s="138">
        <v>2316</v>
      </c>
      <c r="BU13" s="139">
        <v>218</v>
      </c>
      <c r="BV13" s="138">
        <v>34</v>
      </c>
      <c r="BY13" s="138">
        <v>252</v>
      </c>
      <c r="BZ13" s="139">
        <v>7816</v>
      </c>
      <c r="CA13" s="139">
        <v>2302</v>
      </c>
      <c r="CB13" s="176"/>
      <c r="CC13" s="139">
        <v>-711</v>
      </c>
      <c r="CD13" s="151">
        <v>-1100</v>
      </c>
      <c r="CE13" s="151">
        <v>-664</v>
      </c>
      <c r="CF13" s="138">
        <v>41014</v>
      </c>
      <c r="CG13" s="139">
        <v>36891</v>
      </c>
      <c r="CH13" s="139">
        <v>2286</v>
      </c>
      <c r="CI13" s="139">
        <v>1837</v>
      </c>
      <c r="CJ13" s="114">
        <v>20.5</v>
      </c>
      <c r="CK13" s="152"/>
      <c r="CL13" s="138">
        <v>111</v>
      </c>
      <c r="CM13" s="190">
        <v>12368</v>
      </c>
      <c r="CN13" s="146"/>
      <c r="CO13" s="150">
        <v>1.9146023468057367</v>
      </c>
      <c r="CP13" s="150">
        <v>37.48953868783445</v>
      </c>
      <c r="CQ13" s="151">
        <v>-2006.8725743855111</v>
      </c>
      <c r="CR13" s="152"/>
      <c r="CS13" s="152"/>
      <c r="CT13" s="152"/>
      <c r="CU13" s="150">
        <v>56.26088753727598</v>
      </c>
      <c r="CV13" s="151">
        <v>44.38874514877102</v>
      </c>
      <c r="CW13" s="151">
        <v>2.2589790994972154</v>
      </c>
      <c r="CX13" s="154">
        <v>7172.218628719275</v>
      </c>
      <c r="CY13" s="146">
        <v>34802</v>
      </c>
      <c r="CZ13" s="139">
        <v>10541</v>
      </c>
      <c r="DA13" s="139">
        <v>76031</v>
      </c>
      <c r="DB13" s="139">
        <v>-65490</v>
      </c>
      <c r="DC13" s="146">
        <v>44015</v>
      </c>
      <c r="DD13" s="146">
        <v>24306</v>
      </c>
      <c r="DE13" s="160"/>
      <c r="DG13" s="138">
        <v>-202</v>
      </c>
      <c r="DH13" s="138">
        <v>76</v>
      </c>
      <c r="DI13" s="139">
        <v>2705</v>
      </c>
      <c r="DJ13" s="138">
        <v>2498</v>
      </c>
      <c r="DM13" s="139">
        <v>207</v>
      </c>
      <c r="DN13" s="138">
        <v>32</v>
      </c>
      <c r="DQ13" s="138">
        <v>239</v>
      </c>
      <c r="DR13" s="139">
        <v>8055</v>
      </c>
      <c r="DS13" s="139">
        <v>2594</v>
      </c>
      <c r="DT13" s="176"/>
      <c r="DU13" s="139">
        <v>-534</v>
      </c>
      <c r="DV13" s="151">
        <v>-1302</v>
      </c>
      <c r="DW13" s="138">
        <v>-6520</v>
      </c>
      <c r="DX13" s="138">
        <v>44015</v>
      </c>
      <c r="DY13" s="146">
        <v>39990</v>
      </c>
      <c r="DZ13" s="196">
        <v>2097</v>
      </c>
      <c r="EA13" s="146">
        <v>1928</v>
      </c>
      <c r="EB13" s="114">
        <v>20.5</v>
      </c>
      <c r="EC13" s="152"/>
      <c r="ED13" s="138">
        <v>187</v>
      </c>
      <c r="EE13" s="138">
        <v>29493</v>
      </c>
      <c r="EF13" s="138">
        <v>30654</v>
      </c>
      <c r="EG13" s="138">
        <v>30600</v>
      </c>
      <c r="EH13" s="138"/>
      <c r="EI13" s="138"/>
      <c r="EJ13" s="138"/>
      <c r="EK13" s="3">
        <v>-6517</v>
      </c>
      <c r="EL13" s="138">
        <v>10</v>
      </c>
      <c r="EM13" s="138">
        <v>266</v>
      </c>
      <c r="EN13" s="3">
        <v>-3578</v>
      </c>
      <c r="EO13" s="138">
        <v>398</v>
      </c>
      <c r="EP13" s="138">
        <v>214</v>
      </c>
      <c r="EQ13" s="3">
        <v>-10737</v>
      </c>
      <c r="ER13" s="138">
        <v>1387</v>
      </c>
      <c r="ES13" s="138">
        <v>236</v>
      </c>
      <c r="ET13" s="163">
        <v>4043</v>
      </c>
      <c r="EU13" s="163"/>
      <c r="EV13" s="138">
        <v>296</v>
      </c>
      <c r="EW13" s="138">
        <v>1600</v>
      </c>
      <c r="EX13" s="138">
        <v>6400</v>
      </c>
      <c r="EY13" s="138">
        <v>-100</v>
      </c>
      <c r="EZ13" s="138">
        <v>11179</v>
      </c>
      <c r="FA13" s="138">
        <v>5579</v>
      </c>
      <c r="FB13" s="138">
        <v>5600</v>
      </c>
      <c r="FC13" s="138">
        <v>3914</v>
      </c>
      <c r="FD13" s="138">
        <v>11975</v>
      </c>
      <c r="FE13" s="138">
        <v>4773</v>
      </c>
      <c r="FF13" s="138">
        <v>7202</v>
      </c>
      <c r="FG13" s="138">
        <v>3822</v>
      </c>
      <c r="FH13" s="138">
        <v>16973</v>
      </c>
      <c r="FI13" s="138">
        <v>9465</v>
      </c>
      <c r="FJ13" s="138">
        <v>7508</v>
      </c>
      <c r="FK13" s="138">
        <v>3730</v>
      </c>
      <c r="FL13" s="147">
        <v>2232</v>
      </c>
      <c r="FM13" s="147">
        <v>2673.1420280509433</v>
      </c>
      <c r="FO13" s="181">
        <f t="shared" si="0"/>
        <v>1950.7317073170732</v>
      </c>
      <c r="FP13" s="179">
        <f t="shared" si="1"/>
        <v>157.72410311425236</v>
      </c>
      <c r="FR13" s="184"/>
      <c r="FV13" s="184">
        <v>818</v>
      </c>
      <c r="FW13" s="2">
        <f t="shared" si="2"/>
        <v>-818</v>
      </c>
    </row>
    <row r="14" spans="1:179" ht="12.75">
      <c r="A14" s="82">
        <v>51</v>
      </c>
      <c r="B14" s="80" t="s">
        <v>12</v>
      </c>
      <c r="C14" s="191">
        <v>5844</v>
      </c>
      <c r="D14" s="146"/>
      <c r="E14" s="150">
        <v>5.856216216216216</v>
      </c>
      <c r="F14" s="150">
        <v>33.1</v>
      </c>
      <c r="G14" s="151">
        <v>2366</v>
      </c>
      <c r="H14" s="152"/>
      <c r="I14" s="152"/>
      <c r="J14" s="152"/>
      <c r="K14" s="150">
        <v>81</v>
      </c>
      <c r="L14" s="151">
        <v>4160</v>
      </c>
      <c r="M14" s="151">
        <v>191</v>
      </c>
      <c r="N14" s="154">
        <v>7969.541409993155</v>
      </c>
      <c r="O14" s="146">
        <v>15103</v>
      </c>
      <c r="P14" s="139">
        <v>4522</v>
      </c>
      <c r="Q14" s="139">
        <v>35313</v>
      </c>
      <c r="R14" s="139">
        <v>-30791</v>
      </c>
      <c r="S14" s="146">
        <v>30353</v>
      </c>
      <c r="T14" s="139">
        <v>4962</v>
      </c>
      <c r="U14" s="160"/>
      <c r="W14" s="138">
        <v>56</v>
      </c>
      <c r="X14" s="138">
        <v>613</v>
      </c>
      <c r="Y14" s="139">
        <v>5193</v>
      </c>
      <c r="Z14" s="138">
        <v>1855</v>
      </c>
      <c r="AB14" s="139"/>
      <c r="AC14" s="139">
        <v>3338</v>
      </c>
      <c r="AD14" s="139">
        <v>4</v>
      </c>
      <c r="AG14" s="139">
        <v>3342</v>
      </c>
      <c r="AH14" s="139">
        <v>42768</v>
      </c>
      <c r="AI14" s="139">
        <v>5024</v>
      </c>
      <c r="AJ14" s="176"/>
      <c r="AK14" s="138">
        <v>-627</v>
      </c>
      <c r="AL14" s="151">
        <v>-701</v>
      </c>
      <c r="AM14" s="151">
        <v>-4698</v>
      </c>
      <c r="AN14" s="146">
        <v>30353</v>
      </c>
      <c r="AO14" s="139">
        <v>18657</v>
      </c>
      <c r="AP14" s="139">
        <v>1978</v>
      </c>
      <c r="AQ14" s="139">
        <v>9718</v>
      </c>
      <c r="AR14" s="114">
        <v>18</v>
      </c>
      <c r="AS14" s="152"/>
      <c r="AT14" s="138">
        <v>9</v>
      </c>
      <c r="AU14" s="191">
        <v>5922</v>
      </c>
      <c r="AV14" s="146"/>
      <c r="AW14" s="150">
        <v>9.244755244755245</v>
      </c>
      <c r="AX14" s="150">
        <v>27.7</v>
      </c>
      <c r="AY14" s="151">
        <v>1729</v>
      </c>
      <c r="AZ14" s="152"/>
      <c r="BA14" s="152"/>
      <c r="BB14" s="152"/>
      <c r="BC14" s="150">
        <v>83.5</v>
      </c>
      <c r="BD14" s="151">
        <v>3320</v>
      </c>
      <c r="BE14" s="151">
        <v>146</v>
      </c>
      <c r="BF14" s="154">
        <v>8282.505910165484</v>
      </c>
      <c r="BG14" s="146">
        <v>16073</v>
      </c>
      <c r="BH14" s="139">
        <v>4627</v>
      </c>
      <c r="BI14" s="139">
        <v>37537</v>
      </c>
      <c r="BJ14" s="139">
        <v>-32910</v>
      </c>
      <c r="BK14" s="146">
        <v>30649</v>
      </c>
      <c r="BL14" s="146">
        <v>7771</v>
      </c>
      <c r="BM14" s="160"/>
      <c r="BO14" s="138">
        <v>70</v>
      </c>
      <c r="BP14" s="138">
        <v>1024</v>
      </c>
      <c r="BQ14" s="139">
        <v>6604</v>
      </c>
      <c r="BR14" s="138">
        <v>2238</v>
      </c>
      <c r="BT14" s="139"/>
      <c r="BU14" s="139">
        <v>4366</v>
      </c>
      <c r="BV14" s="139">
        <v>3</v>
      </c>
      <c r="BY14" s="138">
        <v>4369</v>
      </c>
      <c r="BZ14" s="139">
        <v>47137</v>
      </c>
      <c r="CA14" s="139">
        <v>6605</v>
      </c>
      <c r="CB14" s="176"/>
      <c r="CC14" s="138">
        <v>163</v>
      </c>
      <c r="CD14" s="151">
        <v>-709</v>
      </c>
      <c r="CE14" s="151">
        <v>-3630</v>
      </c>
      <c r="CF14" s="138">
        <v>30649</v>
      </c>
      <c r="CG14" s="139">
        <v>16262</v>
      </c>
      <c r="CH14" s="139">
        <v>1857</v>
      </c>
      <c r="CI14" s="139">
        <v>12530</v>
      </c>
      <c r="CJ14" s="114">
        <v>18</v>
      </c>
      <c r="CK14" s="152"/>
      <c r="CL14" s="138">
        <v>2</v>
      </c>
      <c r="CM14" s="190">
        <v>5931</v>
      </c>
      <c r="CN14" s="146"/>
      <c r="CO14" s="150">
        <v>20.670648464163822</v>
      </c>
      <c r="CP14" s="150">
        <v>19.88082553963932</v>
      </c>
      <c r="CQ14" s="151">
        <v>2310.5715730905413</v>
      </c>
      <c r="CR14" s="152"/>
      <c r="CS14" s="152"/>
      <c r="CT14" s="152"/>
      <c r="CU14" s="150">
        <v>87.32357939850735</v>
      </c>
      <c r="CV14" s="151">
        <v>3643.7363007924464</v>
      </c>
      <c r="CW14" s="151">
        <v>161.10483640374167</v>
      </c>
      <c r="CX14" s="154">
        <v>8255.268925982127</v>
      </c>
      <c r="CY14" s="146">
        <v>16971</v>
      </c>
      <c r="CZ14" s="139">
        <v>4721</v>
      </c>
      <c r="DA14" s="139">
        <v>39487</v>
      </c>
      <c r="DB14" s="139">
        <v>-34766</v>
      </c>
      <c r="DC14" s="146">
        <v>36995</v>
      </c>
      <c r="DD14" s="146">
        <v>8966</v>
      </c>
      <c r="DE14" s="160"/>
      <c r="DG14" s="138">
        <v>33</v>
      </c>
      <c r="DH14" s="138">
        <v>791</v>
      </c>
      <c r="DI14" s="139">
        <v>12019</v>
      </c>
      <c r="DJ14" s="138">
        <v>2153</v>
      </c>
      <c r="DL14" s="139"/>
      <c r="DM14" s="139">
        <v>9866</v>
      </c>
      <c r="DN14" s="139">
        <v>3</v>
      </c>
      <c r="DQ14" s="138">
        <v>9869</v>
      </c>
      <c r="DR14" s="139">
        <v>57007</v>
      </c>
      <c r="DS14" s="139">
        <v>12018</v>
      </c>
      <c r="DT14" s="176"/>
      <c r="DU14" s="138">
        <v>355</v>
      </c>
      <c r="DV14" s="151">
        <v>-492</v>
      </c>
      <c r="DW14" s="138">
        <v>3718</v>
      </c>
      <c r="DX14" s="138">
        <v>36995</v>
      </c>
      <c r="DY14" s="146">
        <v>18577</v>
      </c>
      <c r="DZ14" s="196">
        <v>4216</v>
      </c>
      <c r="EA14" s="146">
        <v>14202</v>
      </c>
      <c r="EB14" s="114">
        <v>18</v>
      </c>
      <c r="EC14" s="152"/>
      <c r="ED14" s="138">
        <v>1</v>
      </c>
      <c r="EE14" s="138">
        <v>16234</v>
      </c>
      <c r="EF14" s="138">
        <v>17562</v>
      </c>
      <c r="EG14" s="138">
        <v>18556</v>
      </c>
      <c r="EH14" s="138"/>
      <c r="EI14" s="138"/>
      <c r="EJ14" s="138"/>
      <c r="EK14" s="3">
        <v>-10187</v>
      </c>
      <c r="EL14" s="138">
        <v>251</v>
      </c>
      <c r="EM14" s="138">
        <v>214</v>
      </c>
      <c r="EN14" s="3">
        <v>-10489</v>
      </c>
      <c r="EO14" s="138">
        <v>136</v>
      </c>
      <c r="EP14" s="138">
        <v>118</v>
      </c>
      <c r="EQ14" s="3">
        <v>-8446</v>
      </c>
      <c r="ER14" s="138">
        <v>50</v>
      </c>
      <c r="ES14" s="138">
        <v>96</v>
      </c>
      <c r="ET14" s="163"/>
      <c r="EU14" s="163">
        <v>-81</v>
      </c>
      <c r="EV14" s="138"/>
      <c r="EW14" s="138"/>
      <c r="EX14" s="138"/>
      <c r="EY14" s="138"/>
      <c r="EZ14" s="138">
        <v>5011</v>
      </c>
      <c r="FA14" s="138">
        <v>4310</v>
      </c>
      <c r="FB14" s="138">
        <v>702</v>
      </c>
      <c r="FC14" s="138">
        <v>226</v>
      </c>
      <c r="FD14" s="138">
        <v>4301</v>
      </c>
      <c r="FE14" s="138">
        <v>3810</v>
      </c>
      <c r="FF14" s="138">
        <v>491</v>
      </c>
      <c r="FG14" s="138">
        <v>130</v>
      </c>
      <c r="FH14" s="138">
        <v>3810</v>
      </c>
      <c r="FI14" s="138">
        <v>3454</v>
      </c>
      <c r="FJ14" s="138">
        <v>356</v>
      </c>
      <c r="FK14" s="138">
        <v>450</v>
      </c>
      <c r="FL14" s="147">
        <v>1296</v>
      </c>
      <c r="FM14" s="147">
        <v>1315.2651131374535</v>
      </c>
      <c r="FO14" s="181">
        <f t="shared" si="0"/>
        <v>1032.0555555555557</v>
      </c>
      <c r="FP14" s="179">
        <f t="shared" si="1"/>
        <v>174.01037861331235</v>
      </c>
      <c r="FR14" s="184"/>
      <c r="FV14" s="184">
        <v>701</v>
      </c>
      <c r="FW14" s="2">
        <f t="shared" si="2"/>
        <v>-701</v>
      </c>
    </row>
    <row r="15" spans="1:179" ht="12.75">
      <c r="A15" s="82">
        <v>52</v>
      </c>
      <c r="B15" s="80" t="s">
        <v>13</v>
      </c>
      <c r="C15" s="191">
        <v>2747</v>
      </c>
      <c r="D15" s="146"/>
      <c r="E15" s="150">
        <v>2.376271186440678</v>
      </c>
      <c r="F15" s="150">
        <v>26.8</v>
      </c>
      <c r="G15" s="151">
        <v>-1370</v>
      </c>
      <c r="H15" s="152"/>
      <c r="I15" s="152"/>
      <c r="J15" s="152"/>
      <c r="K15" s="150">
        <v>62.4</v>
      </c>
      <c r="L15" s="151">
        <v>208</v>
      </c>
      <c r="M15" s="151">
        <v>12</v>
      </c>
      <c r="N15" s="154">
        <v>6473.243538405533</v>
      </c>
      <c r="O15" s="146">
        <v>3807</v>
      </c>
      <c r="P15" s="139">
        <v>2203</v>
      </c>
      <c r="Q15" s="139">
        <v>16502</v>
      </c>
      <c r="R15" s="139">
        <v>-14299</v>
      </c>
      <c r="S15" s="146">
        <v>7382</v>
      </c>
      <c r="T15" s="139">
        <v>8267</v>
      </c>
      <c r="U15" s="160"/>
      <c r="W15" s="138">
        <v>-86</v>
      </c>
      <c r="X15" s="138">
        <v>48</v>
      </c>
      <c r="Y15" s="139">
        <v>1312</v>
      </c>
      <c r="Z15" s="138">
        <v>392</v>
      </c>
      <c r="AC15" s="139">
        <v>920</v>
      </c>
      <c r="AG15" s="139">
        <v>920</v>
      </c>
      <c r="AH15" s="139">
        <v>-727</v>
      </c>
      <c r="AI15" s="139">
        <v>1089</v>
      </c>
      <c r="AJ15" s="176"/>
      <c r="AK15" s="138">
        <v>-12</v>
      </c>
      <c r="AL15" s="151">
        <v>-500</v>
      </c>
      <c r="AM15" s="151">
        <v>939</v>
      </c>
      <c r="AN15" s="146">
        <v>7382</v>
      </c>
      <c r="AO15" s="139">
        <v>6444</v>
      </c>
      <c r="AP15" s="139">
        <v>448</v>
      </c>
      <c r="AQ15" s="139">
        <v>490</v>
      </c>
      <c r="AR15" s="114">
        <v>21</v>
      </c>
      <c r="AS15" s="152"/>
      <c r="AT15" s="138">
        <v>45</v>
      </c>
      <c r="AU15" s="191">
        <v>2686</v>
      </c>
      <c r="AV15" s="146"/>
      <c r="AW15" s="150">
        <v>0.13082437275985664</v>
      </c>
      <c r="AX15" s="150">
        <v>27.4</v>
      </c>
      <c r="AY15" s="151">
        <v>-1498</v>
      </c>
      <c r="AZ15" s="152"/>
      <c r="BA15" s="152"/>
      <c r="BB15" s="152"/>
      <c r="BC15" s="150">
        <v>60.5</v>
      </c>
      <c r="BD15" s="151">
        <v>163</v>
      </c>
      <c r="BE15" s="151">
        <v>9</v>
      </c>
      <c r="BF15" s="154">
        <v>6975.428145941921</v>
      </c>
      <c r="BG15" s="146">
        <v>3913</v>
      </c>
      <c r="BH15" s="139">
        <v>2060</v>
      </c>
      <c r="BI15" s="139">
        <v>17686</v>
      </c>
      <c r="BJ15" s="139">
        <v>-15626</v>
      </c>
      <c r="BK15" s="146">
        <v>7683</v>
      </c>
      <c r="BL15" s="146">
        <v>7992</v>
      </c>
      <c r="BM15" s="160"/>
      <c r="BO15" s="138">
        <v>-56</v>
      </c>
      <c r="BP15" s="138">
        <v>22</v>
      </c>
      <c r="BQ15" s="139">
        <v>15</v>
      </c>
      <c r="BR15" s="138">
        <v>440</v>
      </c>
      <c r="BS15" s="138">
        <v>57</v>
      </c>
      <c r="BU15" s="139">
        <v>-368</v>
      </c>
      <c r="BY15" s="138">
        <v>-368</v>
      </c>
      <c r="BZ15" s="139">
        <v>-1095</v>
      </c>
      <c r="CA15" s="139">
        <v>45</v>
      </c>
      <c r="CB15" s="176"/>
      <c r="CC15" s="138">
        <v>36</v>
      </c>
      <c r="CD15" s="151">
        <v>-500</v>
      </c>
      <c r="CE15" s="151">
        <v>-253</v>
      </c>
      <c r="CF15" s="138">
        <v>7683</v>
      </c>
      <c r="CG15" s="139">
        <v>6805</v>
      </c>
      <c r="CH15" s="139">
        <v>323</v>
      </c>
      <c r="CI15" s="139">
        <v>555</v>
      </c>
      <c r="CJ15" s="114">
        <v>21</v>
      </c>
      <c r="CK15" s="152"/>
      <c r="CL15" s="138">
        <v>236</v>
      </c>
      <c r="CM15" s="190">
        <v>2685</v>
      </c>
      <c r="CN15" s="146"/>
      <c r="CO15" s="150">
        <v>-0.19724770642201836</v>
      </c>
      <c r="CP15" s="150">
        <v>29.106982990152193</v>
      </c>
      <c r="CQ15" s="151">
        <v>-1606.3314711359405</v>
      </c>
      <c r="CR15" s="152"/>
      <c r="CS15" s="152"/>
      <c r="CT15" s="152"/>
      <c r="CU15" s="150">
        <v>57.60276172125883</v>
      </c>
      <c r="CV15" s="151">
        <v>185.1024208566108</v>
      </c>
      <c r="CW15" s="151">
        <v>9.713788487282464</v>
      </c>
      <c r="CX15" s="154">
        <v>6955.307262569832</v>
      </c>
      <c r="CY15" s="146">
        <v>3989</v>
      </c>
      <c r="CZ15" s="139">
        <v>2087</v>
      </c>
      <c r="DA15" s="139">
        <v>17957</v>
      </c>
      <c r="DB15" s="139">
        <v>-15870</v>
      </c>
      <c r="DC15" s="146">
        <v>7789</v>
      </c>
      <c r="DD15" s="146">
        <v>7996</v>
      </c>
      <c r="DE15" s="160"/>
      <c r="DG15" s="138">
        <v>-37</v>
      </c>
      <c r="DH15" s="138">
        <v>-4</v>
      </c>
      <c r="DI15" s="139">
        <v>-126</v>
      </c>
      <c r="DJ15" s="138">
        <v>353</v>
      </c>
      <c r="DM15" s="139">
        <v>-479</v>
      </c>
      <c r="DQ15" s="138">
        <v>-479</v>
      </c>
      <c r="DR15" s="139">
        <v>-1574</v>
      </c>
      <c r="DS15" s="139">
        <v>-137</v>
      </c>
      <c r="DT15" s="176"/>
      <c r="DU15" s="138">
        <v>15</v>
      </c>
      <c r="DV15" s="151">
        <v>-396</v>
      </c>
      <c r="DW15" s="138">
        <v>-283</v>
      </c>
      <c r="DX15" s="138">
        <v>7789</v>
      </c>
      <c r="DY15" s="146">
        <v>6628</v>
      </c>
      <c r="DZ15" s="196">
        <v>564</v>
      </c>
      <c r="EA15" s="146">
        <v>597</v>
      </c>
      <c r="EB15" s="114">
        <v>21</v>
      </c>
      <c r="EC15" s="152"/>
      <c r="ED15" s="138">
        <v>287</v>
      </c>
      <c r="EE15" s="138">
        <v>11450</v>
      </c>
      <c r="EF15" s="138">
        <v>12441</v>
      </c>
      <c r="EG15" s="138">
        <v>12640</v>
      </c>
      <c r="EH15" s="138">
        <v>400</v>
      </c>
      <c r="EI15" s="138"/>
      <c r="EJ15" s="138"/>
      <c r="EK15" s="3">
        <v>-683</v>
      </c>
      <c r="EL15" s="138"/>
      <c r="EM15" s="138">
        <v>533</v>
      </c>
      <c r="EN15" s="3">
        <v>-416</v>
      </c>
      <c r="EO15" s="138">
        <v>69</v>
      </c>
      <c r="EP15" s="138">
        <v>49</v>
      </c>
      <c r="EQ15" s="3">
        <v>-258</v>
      </c>
      <c r="ER15" s="138">
        <v>52</v>
      </c>
      <c r="ES15" s="138">
        <v>60</v>
      </c>
      <c r="ET15" s="163"/>
      <c r="EU15" s="163">
        <v>-500</v>
      </c>
      <c r="EV15" s="138"/>
      <c r="EW15" s="138">
        <v>150</v>
      </c>
      <c r="EX15" s="138"/>
      <c r="EY15" s="138">
        <v>1100</v>
      </c>
      <c r="EZ15" s="138">
        <v>3249</v>
      </c>
      <c r="FA15" s="138">
        <v>1098</v>
      </c>
      <c r="FB15" s="138">
        <v>2151</v>
      </c>
      <c r="FC15" s="138">
        <v>165</v>
      </c>
      <c r="FD15" s="138">
        <v>2898</v>
      </c>
      <c r="FE15" s="138">
        <v>702</v>
      </c>
      <c r="FF15" s="138">
        <v>2196</v>
      </c>
      <c r="FG15" s="138">
        <v>233</v>
      </c>
      <c r="FH15" s="138">
        <v>3602</v>
      </c>
      <c r="FI15" s="138">
        <v>409</v>
      </c>
      <c r="FJ15" s="138">
        <v>3193</v>
      </c>
      <c r="FK15" s="138">
        <v>228</v>
      </c>
      <c r="FL15" s="147">
        <v>1840</v>
      </c>
      <c r="FM15" s="147">
        <v>1822.0402084884586</v>
      </c>
      <c r="FO15" s="181">
        <f t="shared" si="0"/>
        <v>315.6190476190476</v>
      </c>
      <c r="FP15" s="179">
        <f t="shared" si="1"/>
        <v>117.54899352664715</v>
      </c>
      <c r="FR15" s="184"/>
      <c r="FV15" s="184">
        <v>500</v>
      </c>
      <c r="FW15" s="2">
        <f t="shared" si="2"/>
        <v>-500</v>
      </c>
    </row>
    <row r="16" spans="1:179" ht="12.75">
      <c r="A16" s="82">
        <v>61</v>
      </c>
      <c r="B16" s="80" t="s">
        <v>14</v>
      </c>
      <c r="C16" s="191">
        <v>17833</v>
      </c>
      <c r="D16" s="146"/>
      <c r="E16" s="150">
        <v>1.5941710200714876</v>
      </c>
      <c r="F16" s="150">
        <v>40.9</v>
      </c>
      <c r="G16" s="151">
        <v>-1455</v>
      </c>
      <c r="H16" s="152"/>
      <c r="I16" s="152"/>
      <c r="J16" s="152"/>
      <c r="K16" s="150">
        <v>61.2</v>
      </c>
      <c r="L16" s="151">
        <v>583</v>
      </c>
      <c r="M16" s="151">
        <v>33</v>
      </c>
      <c r="N16" s="154">
        <v>6490.102618740537</v>
      </c>
      <c r="O16" s="146">
        <v>37927</v>
      </c>
      <c r="P16" s="139">
        <v>20340</v>
      </c>
      <c r="Q16" s="139">
        <v>103100</v>
      </c>
      <c r="R16" s="139">
        <v>-82760</v>
      </c>
      <c r="S16" s="146">
        <v>54557</v>
      </c>
      <c r="T16" s="139">
        <v>33873</v>
      </c>
      <c r="U16" s="160"/>
      <c r="W16" s="138">
        <v>-732</v>
      </c>
      <c r="X16" s="138">
        <v>43</v>
      </c>
      <c r="Y16" s="139">
        <v>4981</v>
      </c>
      <c r="Z16" s="138">
        <v>4501</v>
      </c>
      <c r="AC16" s="139">
        <v>480</v>
      </c>
      <c r="AD16" s="139">
        <v>132</v>
      </c>
      <c r="AE16" s="139"/>
      <c r="AG16" s="139">
        <v>612</v>
      </c>
      <c r="AH16" s="139">
        <v>8664</v>
      </c>
      <c r="AI16" s="139">
        <v>7320</v>
      </c>
      <c r="AJ16" s="176"/>
      <c r="AK16" s="139">
        <v>-170</v>
      </c>
      <c r="AL16" s="151">
        <v>-2820</v>
      </c>
      <c r="AM16" s="151">
        <v>1548</v>
      </c>
      <c r="AN16" s="146">
        <v>54557</v>
      </c>
      <c r="AO16" s="139">
        <v>46927</v>
      </c>
      <c r="AP16" s="139">
        <v>4383</v>
      </c>
      <c r="AQ16" s="139">
        <v>3247</v>
      </c>
      <c r="AR16" s="114">
        <v>19.5</v>
      </c>
      <c r="AS16" s="152"/>
      <c r="AT16" s="138">
        <v>140</v>
      </c>
      <c r="AU16" s="191">
        <v>17727</v>
      </c>
      <c r="AV16" s="146"/>
      <c r="AW16" s="150">
        <v>1.0781552057442696</v>
      </c>
      <c r="AX16" s="150">
        <v>40.3</v>
      </c>
      <c r="AY16" s="151">
        <v>-1566</v>
      </c>
      <c r="AZ16" s="152"/>
      <c r="BA16" s="152"/>
      <c r="BB16" s="152"/>
      <c r="BC16" s="150">
        <v>60.1</v>
      </c>
      <c r="BD16" s="151">
        <v>441</v>
      </c>
      <c r="BE16" s="151">
        <v>24</v>
      </c>
      <c r="BF16" s="154">
        <v>6634.963614824844</v>
      </c>
      <c r="BG16" s="146">
        <v>39313</v>
      </c>
      <c r="BH16" s="139">
        <v>21783</v>
      </c>
      <c r="BI16" s="139">
        <v>107752</v>
      </c>
      <c r="BJ16" s="139">
        <v>-85969</v>
      </c>
      <c r="BK16" s="146">
        <v>53332</v>
      </c>
      <c r="BL16" s="146">
        <v>36469</v>
      </c>
      <c r="BM16" s="160"/>
      <c r="BO16" s="138">
        <v>-687</v>
      </c>
      <c r="BP16" s="138">
        <v>37</v>
      </c>
      <c r="BQ16" s="139">
        <v>3182</v>
      </c>
      <c r="BR16" s="138">
        <v>4587</v>
      </c>
      <c r="BU16" s="139">
        <v>-1405</v>
      </c>
      <c r="BV16" s="139">
        <v>125</v>
      </c>
      <c r="BW16" s="139"/>
      <c r="BY16" s="138">
        <v>-1280</v>
      </c>
      <c r="BZ16" s="139">
        <v>7383</v>
      </c>
      <c r="CA16" s="139">
        <v>4003</v>
      </c>
      <c r="CB16" s="176"/>
      <c r="CC16" s="139">
        <v>-1336</v>
      </c>
      <c r="CD16" s="151">
        <v>-2899</v>
      </c>
      <c r="CE16" s="151">
        <v>-1794</v>
      </c>
      <c r="CF16" s="138">
        <v>53332</v>
      </c>
      <c r="CG16" s="139">
        <v>47252</v>
      </c>
      <c r="CH16" s="139">
        <v>2842</v>
      </c>
      <c r="CI16" s="139">
        <v>3238</v>
      </c>
      <c r="CJ16" s="114">
        <v>19.5</v>
      </c>
      <c r="CK16" s="152"/>
      <c r="CL16" s="138">
        <v>131</v>
      </c>
      <c r="CM16" s="190">
        <v>17667</v>
      </c>
      <c r="CN16" s="146"/>
      <c r="CO16" s="150">
        <v>2.4184245660881176</v>
      </c>
      <c r="CP16" s="150">
        <v>38.16266216960812</v>
      </c>
      <c r="CQ16" s="151">
        <v>-1500.3113148808513</v>
      </c>
      <c r="CR16" s="152"/>
      <c r="CS16" s="152"/>
      <c r="CT16" s="152"/>
      <c r="CU16" s="150">
        <v>59.61437719414842</v>
      </c>
      <c r="CV16" s="151">
        <v>605.8753608422483</v>
      </c>
      <c r="CW16" s="151">
        <v>31.581602134023118</v>
      </c>
      <c r="CX16" s="154">
        <v>7002.320710929983</v>
      </c>
      <c r="CY16" s="146">
        <v>40448</v>
      </c>
      <c r="CZ16" s="139">
        <v>22453</v>
      </c>
      <c r="DA16" s="139">
        <v>110806</v>
      </c>
      <c r="DB16" s="139">
        <v>-88353</v>
      </c>
      <c r="DC16" s="146">
        <v>58134</v>
      </c>
      <c r="DD16" s="146">
        <v>39195</v>
      </c>
      <c r="DE16" s="160"/>
      <c r="DG16" s="138">
        <v>-507</v>
      </c>
      <c r="DH16" s="138">
        <v>46</v>
      </c>
      <c r="DI16" s="139">
        <v>8515</v>
      </c>
      <c r="DJ16" s="138">
        <v>5327</v>
      </c>
      <c r="DL16" s="138">
        <v>2507</v>
      </c>
      <c r="DM16" s="139">
        <v>681</v>
      </c>
      <c r="DN16" s="139">
        <v>165</v>
      </c>
      <c r="DO16" s="139"/>
      <c r="DQ16" s="138">
        <v>846</v>
      </c>
      <c r="DR16" s="139">
        <v>8230</v>
      </c>
      <c r="DS16" s="139">
        <v>6642</v>
      </c>
      <c r="DT16" s="176"/>
      <c r="DU16" s="139">
        <v>935</v>
      </c>
      <c r="DV16" s="151">
        <v>-3203</v>
      </c>
      <c r="DW16" s="138">
        <v>434</v>
      </c>
      <c r="DX16" s="138">
        <v>58134</v>
      </c>
      <c r="DY16" s="146">
        <v>51857</v>
      </c>
      <c r="DZ16" s="196">
        <v>2927</v>
      </c>
      <c r="EA16" s="146">
        <v>3350</v>
      </c>
      <c r="EB16" s="114">
        <v>20</v>
      </c>
      <c r="EC16" s="152"/>
      <c r="ED16" s="138">
        <v>62</v>
      </c>
      <c r="EE16" s="138">
        <v>53153</v>
      </c>
      <c r="EF16" s="138">
        <v>55561</v>
      </c>
      <c r="EG16" s="138">
        <v>57170</v>
      </c>
      <c r="EH16" s="138"/>
      <c r="EI16" s="138"/>
      <c r="EJ16" s="138"/>
      <c r="EK16" s="3">
        <v>-8935</v>
      </c>
      <c r="EL16" s="138">
        <v>1735</v>
      </c>
      <c r="EM16" s="138">
        <v>1428</v>
      </c>
      <c r="EN16" s="3">
        <v>-6214</v>
      </c>
      <c r="EO16" s="138">
        <v>215</v>
      </c>
      <c r="EP16" s="138">
        <v>202</v>
      </c>
      <c r="EQ16" s="3">
        <v>-9131</v>
      </c>
      <c r="ER16" s="138">
        <v>568</v>
      </c>
      <c r="ES16" s="138">
        <v>2355</v>
      </c>
      <c r="ET16" s="163">
        <v>8000</v>
      </c>
      <c r="EU16" s="163">
        <v>-6793</v>
      </c>
      <c r="EV16" s="138">
        <v>3000</v>
      </c>
      <c r="EW16" s="138">
        <v>869</v>
      </c>
      <c r="EX16" s="138"/>
      <c r="EY16" s="138">
        <v>2301</v>
      </c>
      <c r="EZ16" s="138">
        <v>34424</v>
      </c>
      <c r="FA16" s="138">
        <v>25778</v>
      </c>
      <c r="FB16" s="138">
        <v>8646</v>
      </c>
      <c r="FC16" s="138">
        <v>1072</v>
      </c>
      <c r="FD16" s="138">
        <v>35394</v>
      </c>
      <c r="FE16" s="138">
        <v>25576</v>
      </c>
      <c r="FF16" s="138">
        <v>9818</v>
      </c>
      <c r="FG16" s="138">
        <v>1072</v>
      </c>
      <c r="FH16" s="138">
        <v>34490</v>
      </c>
      <c r="FI16" s="138">
        <v>17512</v>
      </c>
      <c r="FJ16" s="138">
        <v>16978</v>
      </c>
      <c r="FK16" s="138">
        <v>272</v>
      </c>
      <c r="FL16" s="147">
        <v>3796</v>
      </c>
      <c r="FM16" s="147">
        <v>3788.8531618435154</v>
      </c>
      <c r="FO16" s="181">
        <f t="shared" si="0"/>
        <v>2592.85</v>
      </c>
      <c r="FP16" s="179">
        <f t="shared" si="1"/>
        <v>146.76232523914643</v>
      </c>
      <c r="FR16" s="184"/>
      <c r="FV16" s="184">
        <v>2820</v>
      </c>
      <c r="FW16" s="2">
        <f t="shared" si="2"/>
        <v>-2820</v>
      </c>
    </row>
    <row r="17" spans="1:179" ht="12.75">
      <c r="A17" s="82">
        <v>69</v>
      </c>
      <c r="B17" s="80" t="s">
        <v>15</v>
      </c>
      <c r="C17" s="191">
        <v>7609</v>
      </c>
      <c r="D17" s="146"/>
      <c r="E17" s="150">
        <v>0.8065054211843202</v>
      </c>
      <c r="F17" s="150">
        <v>74.3</v>
      </c>
      <c r="G17" s="151">
        <v>-2490</v>
      </c>
      <c r="H17" s="152"/>
      <c r="I17" s="152"/>
      <c r="J17" s="152"/>
      <c r="K17" s="150">
        <v>42.1</v>
      </c>
      <c r="L17" s="151">
        <v>2079</v>
      </c>
      <c r="M17" s="151">
        <v>108</v>
      </c>
      <c r="N17" s="154">
        <v>7045.998160073597</v>
      </c>
      <c r="O17" s="146">
        <v>12491</v>
      </c>
      <c r="P17" s="139">
        <v>5481</v>
      </c>
      <c r="Q17" s="139">
        <v>44876</v>
      </c>
      <c r="R17" s="139">
        <v>-39395</v>
      </c>
      <c r="S17" s="146">
        <v>20828</v>
      </c>
      <c r="T17" s="139">
        <v>23032</v>
      </c>
      <c r="U17" s="160"/>
      <c r="W17" s="138">
        <v>-826</v>
      </c>
      <c r="X17" s="138">
        <v>300</v>
      </c>
      <c r="Y17" s="139">
        <v>3939</v>
      </c>
      <c r="Z17" s="138">
        <v>1360</v>
      </c>
      <c r="AA17" s="139"/>
      <c r="AC17" s="139">
        <v>2579</v>
      </c>
      <c r="AD17" s="139">
        <v>85</v>
      </c>
      <c r="AE17" s="139"/>
      <c r="AF17" s="139"/>
      <c r="AG17" s="139">
        <v>2664</v>
      </c>
      <c r="AH17" s="139">
        <v>1426</v>
      </c>
      <c r="AI17" s="139">
        <v>3947</v>
      </c>
      <c r="AJ17" s="176"/>
      <c r="AK17" s="139">
        <v>-162</v>
      </c>
      <c r="AL17" s="151">
        <v>-5099</v>
      </c>
      <c r="AM17" s="151">
        <v>3762</v>
      </c>
      <c r="AN17" s="146">
        <v>20828</v>
      </c>
      <c r="AO17" s="139">
        <v>17733</v>
      </c>
      <c r="AP17" s="139">
        <v>1422</v>
      </c>
      <c r="AQ17" s="139">
        <v>1673</v>
      </c>
      <c r="AR17" s="114">
        <v>21</v>
      </c>
      <c r="AS17" s="152"/>
      <c r="AT17" s="138">
        <v>35</v>
      </c>
      <c r="AU17" s="191">
        <v>7641</v>
      </c>
      <c r="AV17" s="146"/>
      <c r="AW17" s="150">
        <v>0.3946916173381707</v>
      </c>
      <c r="AX17" s="150">
        <v>72.2</v>
      </c>
      <c r="AY17" s="151">
        <v>-2426</v>
      </c>
      <c r="AZ17" s="152"/>
      <c r="BA17" s="152"/>
      <c r="BB17" s="152"/>
      <c r="BC17" s="150">
        <v>43.1</v>
      </c>
      <c r="BD17" s="151">
        <v>2015</v>
      </c>
      <c r="BE17" s="151">
        <v>104</v>
      </c>
      <c r="BF17" s="154">
        <v>7080.7485931160845</v>
      </c>
      <c r="BG17" s="146">
        <v>12711</v>
      </c>
      <c r="BH17" s="139">
        <v>5173</v>
      </c>
      <c r="BI17" s="139">
        <v>47560</v>
      </c>
      <c r="BJ17" s="139">
        <v>-42387</v>
      </c>
      <c r="BK17" s="146">
        <v>20946</v>
      </c>
      <c r="BL17" s="146">
        <v>22506</v>
      </c>
      <c r="BM17" s="160"/>
      <c r="BO17" s="138">
        <v>-675</v>
      </c>
      <c r="BP17" s="138">
        <v>988</v>
      </c>
      <c r="BQ17" s="139">
        <v>1378</v>
      </c>
      <c r="BR17" s="138">
        <v>1356</v>
      </c>
      <c r="BS17" s="139"/>
      <c r="BU17" s="139">
        <v>22</v>
      </c>
      <c r="BV17" s="139">
        <v>85</v>
      </c>
      <c r="BW17" s="139"/>
      <c r="BX17" s="139"/>
      <c r="BY17" s="138">
        <v>107</v>
      </c>
      <c r="BZ17" s="139">
        <v>1534</v>
      </c>
      <c r="CA17" s="139">
        <v>1353</v>
      </c>
      <c r="CB17" s="176"/>
      <c r="CC17" s="139">
        <v>729</v>
      </c>
      <c r="CD17" s="151">
        <v>-4548</v>
      </c>
      <c r="CE17" s="151">
        <v>436</v>
      </c>
      <c r="CF17" s="138">
        <v>20946</v>
      </c>
      <c r="CG17" s="139">
        <v>18234</v>
      </c>
      <c r="CH17" s="139">
        <v>1054</v>
      </c>
      <c r="CI17" s="139">
        <v>1658</v>
      </c>
      <c r="CJ17" s="114">
        <v>21</v>
      </c>
      <c r="CK17" s="152"/>
      <c r="CL17" s="138">
        <v>128</v>
      </c>
      <c r="CM17" s="190">
        <v>7616</v>
      </c>
      <c r="CN17" s="146"/>
      <c r="CO17" s="150">
        <v>-0.1892232834744999</v>
      </c>
      <c r="CP17" s="150">
        <v>76.44500815365102</v>
      </c>
      <c r="CQ17" s="151">
        <v>-2764.1806722689075</v>
      </c>
      <c r="CR17" s="152"/>
      <c r="CS17" s="152"/>
      <c r="CT17" s="152"/>
      <c r="CU17" s="150">
        <v>38.25477461256511</v>
      </c>
      <c r="CV17" s="151">
        <v>2056.0661764705883</v>
      </c>
      <c r="CW17" s="151">
        <v>96.73574910297204</v>
      </c>
      <c r="CX17" s="154">
        <v>7757.878151260505</v>
      </c>
      <c r="CY17" s="146">
        <v>12922</v>
      </c>
      <c r="CZ17" s="139">
        <v>5177</v>
      </c>
      <c r="DA17" s="139">
        <v>51477</v>
      </c>
      <c r="DB17" s="139">
        <v>-46300</v>
      </c>
      <c r="DC17" s="146">
        <v>21598</v>
      </c>
      <c r="DD17" s="146">
        <v>22896</v>
      </c>
      <c r="DE17" s="160"/>
      <c r="DG17" s="138">
        <v>-532</v>
      </c>
      <c r="DH17" s="138">
        <v>730</v>
      </c>
      <c r="DI17" s="139">
        <v>-1608</v>
      </c>
      <c r="DJ17" s="138">
        <v>1422</v>
      </c>
      <c r="DK17" s="139"/>
      <c r="DM17" s="139">
        <v>-3030</v>
      </c>
      <c r="DN17" s="139">
        <v>85</v>
      </c>
      <c r="DO17" s="139"/>
      <c r="DP17" s="139"/>
      <c r="DQ17" s="138">
        <v>-2945</v>
      </c>
      <c r="DR17" s="139">
        <v>-1411</v>
      </c>
      <c r="DS17" s="139">
        <v>-1666</v>
      </c>
      <c r="DT17" s="176"/>
      <c r="DU17" s="139">
        <v>-109</v>
      </c>
      <c r="DV17" s="151">
        <v>-4991</v>
      </c>
      <c r="DW17" s="138">
        <v>-2777</v>
      </c>
      <c r="DX17" s="138">
        <v>21598</v>
      </c>
      <c r="DY17" s="146">
        <v>19057</v>
      </c>
      <c r="DZ17" s="196">
        <v>1110</v>
      </c>
      <c r="EA17" s="146">
        <v>1431</v>
      </c>
      <c r="EB17" s="114">
        <v>21</v>
      </c>
      <c r="EC17" s="152"/>
      <c r="ED17" s="138">
        <v>299</v>
      </c>
      <c r="EE17" s="138">
        <v>29303</v>
      </c>
      <c r="EF17" s="138">
        <v>31677</v>
      </c>
      <c r="EG17" s="138">
        <v>35343</v>
      </c>
      <c r="EH17" s="138">
        <v>800</v>
      </c>
      <c r="EI17" s="138"/>
      <c r="EJ17" s="138"/>
      <c r="EK17" s="3">
        <v>-1561</v>
      </c>
      <c r="EL17" s="138">
        <v>343</v>
      </c>
      <c r="EM17" s="138">
        <v>1033</v>
      </c>
      <c r="EN17" s="3">
        <v>-1130</v>
      </c>
      <c r="EO17" s="138">
        <v>29</v>
      </c>
      <c r="EP17" s="138">
        <v>184</v>
      </c>
      <c r="EQ17" s="3">
        <v>-1746</v>
      </c>
      <c r="ER17" s="138">
        <v>541</v>
      </c>
      <c r="ES17" s="138">
        <v>94</v>
      </c>
      <c r="ET17" s="163">
        <v>3400</v>
      </c>
      <c r="EU17" s="163">
        <v>-2296</v>
      </c>
      <c r="EV17" s="138">
        <v>3780</v>
      </c>
      <c r="EW17" s="138">
        <v>-672</v>
      </c>
      <c r="EX17" s="138">
        <v>6079</v>
      </c>
      <c r="EY17" s="138">
        <v>1193</v>
      </c>
      <c r="EZ17" s="138">
        <v>29812</v>
      </c>
      <c r="FA17" s="138">
        <v>23413</v>
      </c>
      <c r="FB17" s="138">
        <v>6399</v>
      </c>
      <c r="FC17" s="138">
        <v>1199</v>
      </c>
      <c r="FD17" s="138">
        <v>28372</v>
      </c>
      <c r="FE17" s="138">
        <v>22645</v>
      </c>
      <c r="FF17" s="138">
        <v>5727</v>
      </c>
      <c r="FG17" s="138">
        <v>1191</v>
      </c>
      <c r="FH17" s="138">
        <v>30653</v>
      </c>
      <c r="FI17" s="138">
        <v>23733</v>
      </c>
      <c r="FJ17" s="138">
        <v>6920</v>
      </c>
      <c r="FK17" s="138">
        <v>1184</v>
      </c>
      <c r="FL17" s="147">
        <v>4964</v>
      </c>
      <c r="FM17" s="147">
        <v>5096.845962570344</v>
      </c>
      <c r="FO17" s="181">
        <f t="shared" si="0"/>
        <v>907.4761904761905</v>
      </c>
      <c r="FP17" s="179">
        <f t="shared" si="1"/>
        <v>119.15391156462584</v>
      </c>
      <c r="FR17" s="184"/>
      <c r="FV17" s="184">
        <v>5099</v>
      </c>
      <c r="FW17" s="2">
        <f t="shared" si="2"/>
        <v>-5099</v>
      </c>
    </row>
    <row r="18" spans="1:179" ht="12.75">
      <c r="A18" s="82">
        <v>71</v>
      </c>
      <c r="B18" s="80" t="s">
        <v>16</v>
      </c>
      <c r="C18" s="191">
        <v>7384</v>
      </c>
      <c r="D18" s="146"/>
      <c r="E18" s="150">
        <v>0.7512019230769231</v>
      </c>
      <c r="F18" s="150">
        <v>35.4</v>
      </c>
      <c r="G18" s="151">
        <v>-2017</v>
      </c>
      <c r="H18" s="152"/>
      <c r="I18" s="152"/>
      <c r="J18" s="152"/>
      <c r="K18" s="150">
        <v>41.7</v>
      </c>
      <c r="L18" s="151">
        <v>897</v>
      </c>
      <c r="M18" s="151">
        <v>30</v>
      </c>
      <c r="N18" s="154">
        <v>10732.800650054172</v>
      </c>
      <c r="O18" s="146">
        <v>39520</v>
      </c>
      <c r="P18" s="139">
        <v>32592</v>
      </c>
      <c r="Q18" s="139">
        <v>71113</v>
      </c>
      <c r="R18" s="139">
        <v>-38521</v>
      </c>
      <c r="S18" s="146">
        <v>19364</v>
      </c>
      <c r="T18" s="139">
        <v>20922</v>
      </c>
      <c r="U18" s="160"/>
      <c r="W18" s="138">
        <v>-474</v>
      </c>
      <c r="X18" s="138">
        <v>75</v>
      </c>
      <c r="Y18" s="139">
        <v>1366</v>
      </c>
      <c r="Z18" s="138">
        <v>2045</v>
      </c>
      <c r="AC18" s="139">
        <v>-679</v>
      </c>
      <c r="AG18" s="139">
        <v>-679</v>
      </c>
      <c r="AH18" s="139">
        <v>3020</v>
      </c>
      <c r="AI18" s="139">
        <v>1362</v>
      </c>
      <c r="AJ18" s="176"/>
      <c r="AK18" s="139">
        <v>-1429</v>
      </c>
      <c r="AL18" s="151">
        <v>-1987</v>
      </c>
      <c r="AM18" s="151">
        <v>-2214</v>
      </c>
      <c r="AN18" s="146">
        <v>19364</v>
      </c>
      <c r="AO18" s="139">
        <v>17096</v>
      </c>
      <c r="AP18" s="139">
        <v>1407</v>
      </c>
      <c r="AQ18" s="139">
        <v>861</v>
      </c>
      <c r="AR18" s="114">
        <v>20.75</v>
      </c>
      <c r="AS18" s="152"/>
      <c r="AT18" s="138">
        <v>211</v>
      </c>
      <c r="AU18" s="191">
        <v>7283</v>
      </c>
      <c r="AV18" s="146"/>
      <c r="AW18" s="150">
        <v>0.39507299270072993</v>
      </c>
      <c r="AX18" s="150">
        <v>37.8</v>
      </c>
      <c r="AY18" s="151">
        <v>-2346</v>
      </c>
      <c r="AZ18" s="152"/>
      <c r="BA18" s="152"/>
      <c r="BB18" s="152"/>
      <c r="BC18" s="150">
        <v>38.2</v>
      </c>
      <c r="BD18" s="151">
        <v>974</v>
      </c>
      <c r="BE18" s="151">
        <v>32</v>
      </c>
      <c r="BF18" s="154">
        <v>11093.642729644378</v>
      </c>
      <c r="BG18" s="146">
        <v>40708</v>
      </c>
      <c r="BH18" s="139">
        <v>33438</v>
      </c>
      <c r="BI18" s="139">
        <v>73699</v>
      </c>
      <c r="BJ18" s="139">
        <v>-40261</v>
      </c>
      <c r="BK18" s="146">
        <v>19384</v>
      </c>
      <c r="BL18" s="146">
        <v>21377</v>
      </c>
      <c r="BM18" s="160"/>
      <c r="BO18" s="138">
        <v>-473</v>
      </c>
      <c r="BP18" s="138">
        <v>712</v>
      </c>
      <c r="BQ18" s="139">
        <v>739</v>
      </c>
      <c r="BR18" s="138">
        <v>1969</v>
      </c>
      <c r="BU18" s="139">
        <v>-1230</v>
      </c>
      <c r="BY18" s="138">
        <v>-1230</v>
      </c>
      <c r="BZ18" s="139">
        <v>1791</v>
      </c>
      <c r="CA18" s="139">
        <v>742</v>
      </c>
      <c r="CB18" s="176"/>
      <c r="CC18" s="139">
        <v>435</v>
      </c>
      <c r="CD18" s="151">
        <v>-2728</v>
      </c>
      <c r="CE18" s="151">
        <v>-2202</v>
      </c>
      <c r="CF18" s="138">
        <v>19384</v>
      </c>
      <c r="CG18" s="139">
        <v>17575</v>
      </c>
      <c r="CH18" s="139">
        <v>909</v>
      </c>
      <c r="CI18" s="139">
        <v>900</v>
      </c>
      <c r="CJ18" s="114">
        <v>20.75</v>
      </c>
      <c r="CK18" s="152"/>
      <c r="CL18" s="138">
        <v>190</v>
      </c>
      <c r="CM18" s="190">
        <v>7241</v>
      </c>
      <c r="CN18" s="146"/>
      <c r="CO18" s="150">
        <v>0.41375661375661377</v>
      </c>
      <c r="CP18" s="150">
        <v>44.81528429361107</v>
      </c>
      <c r="CQ18" s="151">
        <v>-3000</v>
      </c>
      <c r="CR18" s="152"/>
      <c r="CS18" s="152"/>
      <c r="CT18" s="152"/>
      <c r="CU18" s="150">
        <v>31.59090011453849</v>
      </c>
      <c r="CV18" s="151">
        <v>1031.3492611517747</v>
      </c>
      <c r="CW18" s="151">
        <v>31.869380692380542</v>
      </c>
      <c r="CX18" s="154">
        <v>11812.042535561388</v>
      </c>
      <c r="CY18" s="146">
        <v>41183</v>
      </c>
      <c r="CZ18" s="139">
        <v>34724</v>
      </c>
      <c r="DA18" s="139">
        <v>75468</v>
      </c>
      <c r="DB18" s="139">
        <v>-40744</v>
      </c>
      <c r="DC18" s="146">
        <v>20067</v>
      </c>
      <c r="DD18" s="146">
        <v>21806</v>
      </c>
      <c r="DE18" s="160"/>
      <c r="DG18" s="138">
        <v>-443</v>
      </c>
      <c r="DH18" s="138">
        <v>330</v>
      </c>
      <c r="DI18" s="139">
        <v>1016</v>
      </c>
      <c r="DJ18" s="138">
        <v>2108</v>
      </c>
      <c r="DL18" s="138">
        <v>540</v>
      </c>
      <c r="DM18" s="139">
        <v>-1632</v>
      </c>
      <c r="DQ18" s="138">
        <v>-1632</v>
      </c>
      <c r="DR18" s="139">
        <v>250</v>
      </c>
      <c r="DS18" s="139">
        <v>484</v>
      </c>
      <c r="DT18" s="176"/>
      <c r="DU18" s="139">
        <v>-1245</v>
      </c>
      <c r="DV18" s="151">
        <v>-3232</v>
      </c>
      <c r="DW18" s="138">
        <v>-4893</v>
      </c>
      <c r="DX18" s="138">
        <v>20067</v>
      </c>
      <c r="DY18" s="146">
        <v>17890</v>
      </c>
      <c r="DZ18" s="196">
        <v>1053</v>
      </c>
      <c r="EA18" s="146">
        <v>1124</v>
      </c>
      <c r="EB18" s="114">
        <v>20.75</v>
      </c>
      <c r="EC18" s="152"/>
      <c r="ED18" s="138">
        <v>230</v>
      </c>
      <c r="EE18" s="138">
        <v>22448</v>
      </c>
      <c r="EF18" s="138">
        <v>23039</v>
      </c>
      <c r="EG18" s="138">
        <v>24162</v>
      </c>
      <c r="EH18" s="138"/>
      <c r="EI18" s="138"/>
      <c r="EJ18" s="138"/>
      <c r="EK18" s="3">
        <v>-4936</v>
      </c>
      <c r="EL18" s="138">
        <v>1007</v>
      </c>
      <c r="EM18" s="138">
        <v>353</v>
      </c>
      <c r="EN18" s="3">
        <v>-3781</v>
      </c>
      <c r="EO18" s="138">
        <v>531</v>
      </c>
      <c r="EP18" s="138">
        <v>306</v>
      </c>
      <c r="EQ18" s="3">
        <v>-6235</v>
      </c>
      <c r="ER18" s="138">
        <v>706</v>
      </c>
      <c r="ES18" s="138">
        <v>152</v>
      </c>
      <c r="ET18" s="163">
        <v>3465</v>
      </c>
      <c r="EU18" s="163">
        <v>1000</v>
      </c>
      <c r="EV18" s="138">
        <v>5009</v>
      </c>
      <c r="EW18" s="138">
        <v>-1000</v>
      </c>
      <c r="EX18" s="138">
        <v>5020</v>
      </c>
      <c r="EY18" s="138">
        <v>3000</v>
      </c>
      <c r="EZ18" s="138">
        <v>15501</v>
      </c>
      <c r="FA18" s="138">
        <v>12131</v>
      </c>
      <c r="FB18" s="138">
        <v>3370</v>
      </c>
      <c r="FC18" s="138">
        <v>0</v>
      </c>
      <c r="FD18" s="138">
        <v>16783</v>
      </c>
      <c r="FE18" s="138">
        <v>13801</v>
      </c>
      <c r="FF18" s="138">
        <v>2982</v>
      </c>
      <c r="FG18" s="138">
        <v>0</v>
      </c>
      <c r="FH18" s="138">
        <v>21572</v>
      </c>
      <c r="FI18" s="138">
        <v>14957</v>
      </c>
      <c r="FJ18" s="138">
        <v>6615</v>
      </c>
      <c r="FK18" s="138">
        <v>0</v>
      </c>
      <c r="FL18" s="147">
        <v>3359</v>
      </c>
      <c r="FM18" s="147">
        <v>5512.838116160923</v>
      </c>
      <c r="FO18" s="181">
        <f t="shared" si="0"/>
        <v>862.1686746987951</v>
      </c>
      <c r="FP18" s="179">
        <f t="shared" si="1"/>
        <v>119.06762528639624</v>
      </c>
      <c r="FR18" s="184"/>
      <c r="FV18" s="184">
        <v>1987</v>
      </c>
      <c r="FW18" s="2">
        <f t="shared" si="2"/>
        <v>-1987</v>
      </c>
    </row>
    <row r="19" spans="1:179" ht="12.75">
      <c r="A19" s="82">
        <v>72</v>
      </c>
      <c r="B19" s="80" t="s">
        <v>17</v>
      </c>
      <c r="C19" s="191">
        <v>1004</v>
      </c>
      <c r="D19" s="146"/>
      <c r="E19" s="150">
        <v>37.285714285714285</v>
      </c>
      <c r="F19" s="150">
        <v>30.2</v>
      </c>
      <c r="G19" s="151">
        <v>3787</v>
      </c>
      <c r="H19" s="152"/>
      <c r="I19" s="152"/>
      <c r="J19" s="152"/>
      <c r="K19" s="150">
        <v>77.5</v>
      </c>
      <c r="L19" s="151">
        <v>5668</v>
      </c>
      <c r="M19" s="151">
        <v>317</v>
      </c>
      <c r="N19" s="154">
        <v>6516.932270916334</v>
      </c>
      <c r="O19" s="146">
        <v>2959</v>
      </c>
      <c r="P19" s="139">
        <v>1169</v>
      </c>
      <c r="Q19" s="139">
        <v>6200</v>
      </c>
      <c r="R19" s="139">
        <v>-5031</v>
      </c>
      <c r="S19" s="146">
        <v>2787</v>
      </c>
      <c r="T19" s="139">
        <v>3162</v>
      </c>
      <c r="U19" s="160"/>
      <c r="W19" s="138">
        <v>95</v>
      </c>
      <c r="X19" s="138">
        <v>3</v>
      </c>
      <c r="Y19" s="139">
        <v>1016</v>
      </c>
      <c r="Z19" s="138">
        <v>178</v>
      </c>
      <c r="AA19" s="139"/>
      <c r="AC19" s="139">
        <v>838</v>
      </c>
      <c r="AD19" s="139">
        <v>18</v>
      </c>
      <c r="AE19" s="139">
        <v>-743</v>
      </c>
      <c r="AG19" s="139">
        <v>113</v>
      </c>
      <c r="AH19" s="139">
        <v>2995</v>
      </c>
      <c r="AI19" s="139">
        <v>1016</v>
      </c>
      <c r="AJ19" s="176"/>
      <c r="AK19" s="138">
        <v>97</v>
      </c>
      <c r="AL19" s="151">
        <v>0</v>
      </c>
      <c r="AM19" s="151">
        <v>723</v>
      </c>
      <c r="AN19" s="146">
        <v>2787</v>
      </c>
      <c r="AO19" s="139">
        <v>2469</v>
      </c>
      <c r="AP19" s="139">
        <v>107</v>
      </c>
      <c r="AQ19" s="139">
        <v>211</v>
      </c>
      <c r="AR19" s="114">
        <v>19.25</v>
      </c>
      <c r="AS19" s="152"/>
      <c r="AT19" s="138">
        <v>3</v>
      </c>
      <c r="AU19" s="191">
        <v>986</v>
      </c>
      <c r="AV19" s="146"/>
      <c r="AW19" s="150">
        <v>3.9398496240601504</v>
      </c>
      <c r="AX19" s="150">
        <v>33.5</v>
      </c>
      <c r="AY19" s="151">
        <v>2367</v>
      </c>
      <c r="AZ19" s="152"/>
      <c r="BA19" s="152"/>
      <c r="BB19" s="152"/>
      <c r="BC19" s="150">
        <v>77.4</v>
      </c>
      <c r="BD19" s="151">
        <v>3941</v>
      </c>
      <c r="BE19" s="151">
        <v>147</v>
      </c>
      <c r="BF19" s="154">
        <v>9815.415821501014</v>
      </c>
      <c r="BG19" s="146">
        <v>3121</v>
      </c>
      <c r="BH19" s="139">
        <v>1171</v>
      </c>
      <c r="BI19" s="139">
        <v>7284</v>
      </c>
      <c r="BJ19" s="139">
        <v>-6113</v>
      </c>
      <c r="BK19" s="146">
        <v>3055</v>
      </c>
      <c r="BL19" s="146">
        <v>3198</v>
      </c>
      <c r="BM19" s="160"/>
      <c r="BO19" s="138">
        <v>140</v>
      </c>
      <c r="BP19" s="138">
        <v>212</v>
      </c>
      <c r="BQ19" s="139">
        <v>492</v>
      </c>
      <c r="BR19" s="138">
        <v>185</v>
      </c>
      <c r="BS19" s="139"/>
      <c r="BU19" s="139">
        <v>307</v>
      </c>
      <c r="BV19" s="139">
        <v>18</v>
      </c>
      <c r="BW19" s="139"/>
      <c r="BY19" s="138">
        <v>325</v>
      </c>
      <c r="BZ19" s="139">
        <v>3320</v>
      </c>
      <c r="CA19" s="139">
        <v>492</v>
      </c>
      <c r="CB19" s="176"/>
      <c r="CC19" s="138">
        <v>-294</v>
      </c>
      <c r="CD19" s="151">
        <v>-101</v>
      </c>
      <c r="CE19" s="151">
        <v>-1418</v>
      </c>
      <c r="CF19" s="138">
        <v>3055</v>
      </c>
      <c r="CG19" s="139">
        <v>2769</v>
      </c>
      <c r="CH19" s="139">
        <v>61</v>
      </c>
      <c r="CI19" s="139">
        <v>225</v>
      </c>
      <c r="CJ19" s="114">
        <v>19.25</v>
      </c>
      <c r="CK19" s="152"/>
      <c r="CL19" s="138">
        <v>19</v>
      </c>
      <c r="CM19" s="190">
        <v>999</v>
      </c>
      <c r="CN19" s="146"/>
      <c r="CO19" s="150">
        <v>-1.7179487179487178</v>
      </c>
      <c r="CP19" s="150">
        <v>26.439927026322646</v>
      </c>
      <c r="CQ19" s="151">
        <v>821.8218218218218</v>
      </c>
      <c r="CR19" s="152"/>
      <c r="CS19" s="152"/>
      <c r="CT19" s="152"/>
      <c r="CU19" s="150">
        <v>77.41885021509582</v>
      </c>
      <c r="CV19" s="151">
        <v>2598.5985985985985</v>
      </c>
      <c r="CW19" s="151">
        <v>98.16015746400083</v>
      </c>
      <c r="CX19" s="154">
        <v>9662.662662662664</v>
      </c>
      <c r="CY19" s="146">
        <v>3502</v>
      </c>
      <c r="CZ19" s="139">
        <v>1384</v>
      </c>
      <c r="DA19" s="139">
        <v>7926</v>
      </c>
      <c r="DB19" s="139">
        <v>-6542</v>
      </c>
      <c r="DC19" s="146">
        <v>3137</v>
      </c>
      <c r="DD19" s="146">
        <v>3153</v>
      </c>
      <c r="DE19" s="160"/>
      <c r="DG19" s="138">
        <v>2</v>
      </c>
      <c r="DH19" s="138">
        <v>33</v>
      </c>
      <c r="DI19" s="139">
        <v>-217</v>
      </c>
      <c r="DJ19" s="138">
        <v>500</v>
      </c>
      <c r="DK19" s="139"/>
      <c r="DM19" s="139">
        <v>-717</v>
      </c>
      <c r="DN19" s="139">
        <v>-2279</v>
      </c>
      <c r="DO19" s="139">
        <v>2380</v>
      </c>
      <c r="DQ19" s="138">
        <v>-616</v>
      </c>
      <c r="DR19" s="139">
        <v>2587</v>
      </c>
      <c r="DS19" s="139">
        <v>-198</v>
      </c>
      <c r="DT19" s="176"/>
      <c r="DU19" s="138">
        <v>681</v>
      </c>
      <c r="DV19" s="151">
        <v>-101</v>
      </c>
      <c r="DW19" s="138">
        <v>-1375</v>
      </c>
      <c r="DX19" s="138">
        <v>3137</v>
      </c>
      <c r="DY19" s="146">
        <v>2815</v>
      </c>
      <c r="DZ19" s="196">
        <v>71</v>
      </c>
      <c r="EA19" s="146">
        <v>251</v>
      </c>
      <c r="EB19" s="114">
        <v>19.25</v>
      </c>
      <c r="EC19" s="152"/>
      <c r="ED19" s="138">
        <v>301</v>
      </c>
      <c r="EE19" s="138">
        <v>2543</v>
      </c>
      <c r="EF19" s="138">
        <v>3370</v>
      </c>
      <c r="EG19" s="138">
        <v>3468</v>
      </c>
      <c r="EH19" s="138"/>
      <c r="EI19" s="138"/>
      <c r="EJ19" s="138"/>
      <c r="EK19" s="3">
        <v>-314</v>
      </c>
      <c r="EL19" s="138"/>
      <c r="EM19" s="138">
        <v>21</v>
      </c>
      <c r="EN19" s="3">
        <v>-2259</v>
      </c>
      <c r="EO19" s="138">
        <v>321</v>
      </c>
      <c r="EP19" s="138">
        <v>28</v>
      </c>
      <c r="EQ19" s="3">
        <v>-1600</v>
      </c>
      <c r="ER19" s="138">
        <v>403</v>
      </c>
      <c r="ES19" s="138">
        <v>20</v>
      </c>
      <c r="ET19" s="163"/>
      <c r="EU19" s="163">
        <v>-101</v>
      </c>
      <c r="EV19" s="138"/>
      <c r="EW19" s="138">
        <v>0</v>
      </c>
      <c r="EX19" s="138"/>
      <c r="EY19" s="138"/>
      <c r="EZ19" s="138">
        <v>1364</v>
      </c>
      <c r="FA19" s="138">
        <v>1263</v>
      </c>
      <c r="FB19" s="138">
        <v>101</v>
      </c>
      <c r="FC19" s="138">
        <v>28</v>
      </c>
      <c r="FD19" s="138">
        <v>1264</v>
      </c>
      <c r="FE19" s="138">
        <v>1163</v>
      </c>
      <c r="FF19" s="138">
        <v>101</v>
      </c>
      <c r="FG19" s="138">
        <v>20</v>
      </c>
      <c r="FH19" s="138">
        <v>1163</v>
      </c>
      <c r="FI19" s="138">
        <v>1062</v>
      </c>
      <c r="FJ19" s="138">
        <v>101</v>
      </c>
      <c r="FK19" s="138">
        <v>20</v>
      </c>
      <c r="FL19" s="147">
        <v>3705</v>
      </c>
      <c r="FM19" s="147">
        <v>3851.9269776876267</v>
      </c>
      <c r="FO19" s="181">
        <f t="shared" si="0"/>
        <v>146.23376623376623</v>
      </c>
      <c r="FP19" s="179">
        <f t="shared" si="1"/>
        <v>146.38014638014639</v>
      </c>
      <c r="FR19" s="184"/>
      <c r="FV19" s="184">
        <v>0</v>
      </c>
      <c r="FW19" s="2">
        <f t="shared" si="2"/>
        <v>0</v>
      </c>
    </row>
    <row r="20" spans="1:179" ht="12.75">
      <c r="A20" s="82">
        <v>74</v>
      </c>
      <c r="B20" s="80" t="s">
        <v>18</v>
      </c>
      <c r="C20" s="191">
        <v>1275</v>
      </c>
      <c r="D20" s="146"/>
      <c r="E20" s="150">
        <v>0.6037151702786377</v>
      </c>
      <c r="F20" s="150">
        <v>69.2</v>
      </c>
      <c r="G20" s="151">
        <v>-3566</v>
      </c>
      <c r="H20" s="152"/>
      <c r="I20" s="152"/>
      <c r="J20" s="152"/>
      <c r="K20" s="150">
        <v>33.1</v>
      </c>
      <c r="L20" s="151">
        <v>75</v>
      </c>
      <c r="M20" s="151">
        <v>4</v>
      </c>
      <c r="N20" s="154">
        <v>7410.980392156863</v>
      </c>
      <c r="O20" s="146">
        <v>2304</v>
      </c>
      <c r="P20" s="139">
        <v>1098</v>
      </c>
      <c r="Q20" s="139">
        <v>8075</v>
      </c>
      <c r="R20" s="139">
        <v>-6977</v>
      </c>
      <c r="S20" s="146">
        <v>3575</v>
      </c>
      <c r="T20" s="139">
        <v>3573</v>
      </c>
      <c r="U20" s="160"/>
      <c r="W20" s="138">
        <v>-135</v>
      </c>
      <c r="X20" s="138">
        <v>24</v>
      </c>
      <c r="Y20" s="139">
        <v>60</v>
      </c>
      <c r="Z20" s="138">
        <v>204</v>
      </c>
      <c r="AC20" s="139">
        <v>-144</v>
      </c>
      <c r="AG20" s="139">
        <v>-144</v>
      </c>
      <c r="AH20" s="139">
        <v>-109</v>
      </c>
      <c r="AI20" s="139">
        <v>60</v>
      </c>
      <c r="AJ20" s="176"/>
      <c r="AK20" s="139">
        <v>-201</v>
      </c>
      <c r="AL20" s="151">
        <v>-188</v>
      </c>
      <c r="AM20" s="151">
        <v>-845</v>
      </c>
      <c r="AN20" s="146">
        <v>3575</v>
      </c>
      <c r="AO20" s="139">
        <v>3010</v>
      </c>
      <c r="AP20" s="139">
        <v>388</v>
      </c>
      <c r="AQ20" s="139">
        <v>177</v>
      </c>
      <c r="AR20" s="114">
        <v>20.5</v>
      </c>
      <c r="AS20" s="152"/>
      <c r="AT20" s="138">
        <v>264</v>
      </c>
      <c r="AU20" s="191">
        <v>1248</v>
      </c>
      <c r="AV20" s="146"/>
      <c r="AW20" s="150">
        <v>-0.011312217194570135</v>
      </c>
      <c r="AX20" s="150">
        <v>68.2</v>
      </c>
      <c r="AY20" s="151">
        <v>-2349</v>
      </c>
      <c r="AZ20" s="152"/>
      <c r="BA20" s="152"/>
      <c r="BB20" s="152"/>
      <c r="BC20" s="150">
        <v>35.2</v>
      </c>
      <c r="BD20" s="151">
        <v>65</v>
      </c>
      <c r="BE20" s="151">
        <v>3</v>
      </c>
      <c r="BF20" s="154">
        <v>7539.26282051282</v>
      </c>
      <c r="BG20" s="146">
        <v>2331</v>
      </c>
      <c r="BH20" s="139">
        <v>1022</v>
      </c>
      <c r="BI20" s="139">
        <v>8260</v>
      </c>
      <c r="BJ20" s="139">
        <v>-7238</v>
      </c>
      <c r="BK20" s="146">
        <v>3495</v>
      </c>
      <c r="BL20" s="146">
        <v>3806</v>
      </c>
      <c r="BM20" s="160"/>
      <c r="BO20" s="138">
        <v>-130</v>
      </c>
      <c r="BP20" s="138">
        <v>-69</v>
      </c>
      <c r="BQ20" s="139">
        <v>-136</v>
      </c>
      <c r="BR20" s="138">
        <v>204</v>
      </c>
      <c r="BS20" s="138">
        <v>593</v>
      </c>
      <c r="BU20" s="139">
        <v>253</v>
      </c>
      <c r="BY20" s="138">
        <v>253</v>
      </c>
      <c r="BZ20" s="139">
        <v>144</v>
      </c>
      <c r="CA20" s="139">
        <v>457</v>
      </c>
      <c r="CB20" s="176"/>
      <c r="CC20" s="139">
        <v>-1622</v>
      </c>
      <c r="CD20" s="151">
        <v>-311</v>
      </c>
      <c r="CE20" s="151">
        <v>1630</v>
      </c>
      <c r="CF20" s="138">
        <v>3495</v>
      </c>
      <c r="CG20" s="139">
        <v>3069</v>
      </c>
      <c r="CH20" s="139">
        <v>246</v>
      </c>
      <c r="CI20" s="139">
        <v>180</v>
      </c>
      <c r="CJ20" s="114">
        <v>21</v>
      </c>
      <c r="CK20" s="152"/>
      <c r="CL20" s="138">
        <v>284</v>
      </c>
      <c r="CM20" s="190">
        <v>1229</v>
      </c>
      <c r="CN20" s="146"/>
      <c r="CO20" s="150">
        <v>1.0478260869565217</v>
      </c>
      <c r="CP20" s="150">
        <v>50.09122977739934</v>
      </c>
      <c r="CQ20" s="151">
        <v>-2352.3189585028476</v>
      </c>
      <c r="CR20" s="152"/>
      <c r="CS20" s="152"/>
      <c r="CT20" s="152"/>
      <c r="CU20" s="150">
        <v>42.89473684210526</v>
      </c>
      <c r="CV20" s="151">
        <v>248.16924328722538</v>
      </c>
      <c r="CW20" s="151">
        <v>13.251398643018687</v>
      </c>
      <c r="CX20" s="154">
        <v>6835.638730675346</v>
      </c>
      <c r="CY20" s="146">
        <v>2309</v>
      </c>
      <c r="CZ20" s="139">
        <v>811</v>
      </c>
      <c r="DA20" s="139">
        <v>7994</v>
      </c>
      <c r="DB20" s="139">
        <v>-7183</v>
      </c>
      <c r="DC20" s="146">
        <v>3440</v>
      </c>
      <c r="DD20" s="146">
        <v>3970</v>
      </c>
      <c r="DE20" s="160"/>
      <c r="DG20" s="138">
        <v>-101</v>
      </c>
      <c r="DH20" s="138">
        <v>14</v>
      </c>
      <c r="DI20" s="139">
        <v>140</v>
      </c>
      <c r="DJ20" s="138">
        <v>129</v>
      </c>
      <c r="DM20" s="139">
        <v>11</v>
      </c>
      <c r="DQ20" s="138">
        <v>11</v>
      </c>
      <c r="DR20" s="139">
        <v>154</v>
      </c>
      <c r="DS20" s="139">
        <v>139</v>
      </c>
      <c r="DT20" s="176"/>
      <c r="DU20" s="139">
        <v>1741</v>
      </c>
      <c r="DV20" s="151">
        <v>-128</v>
      </c>
      <c r="DW20" s="138">
        <v>40</v>
      </c>
      <c r="DX20" s="138">
        <v>3440</v>
      </c>
      <c r="DY20" s="146">
        <v>2917</v>
      </c>
      <c r="DZ20" s="196">
        <v>300</v>
      </c>
      <c r="EA20" s="146">
        <v>223</v>
      </c>
      <c r="EB20" s="114">
        <v>21</v>
      </c>
      <c r="EC20" s="152"/>
      <c r="ED20" s="138">
        <v>239</v>
      </c>
      <c r="EE20" s="138">
        <v>5003</v>
      </c>
      <c r="EF20" s="138">
        <v>5102</v>
      </c>
      <c r="EG20" s="138">
        <v>4968</v>
      </c>
      <c r="EH20" s="138"/>
      <c r="EI20" s="138">
        <v>170</v>
      </c>
      <c r="EJ20" s="138">
        <v>160</v>
      </c>
      <c r="EK20" s="3">
        <v>-1047</v>
      </c>
      <c r="EL20" s="138">
        <v>122</v>
      </c>
      <c r="EM20" s="138">
        <v>20</v>
      </c>
      <c r="EN20" s="3">
        <v>-618</v>
      </c>
      <c r="EO20" s="138">
        <v>45</v>
      </c>
      <c r="EP20" s="138">
        <v>1746</v>
      </c>
      <c r="EQ20" s="3">
        <v>-177</v>
      </c>
      <c r="ES20" s="138">
        <v>78</v>
      </c>
      <c r="ET20" s="163">
        <v>1020</v>
      </c>
      <c r="EU20" s="163">
        <v>150</v>
      </c>
      <c r="EV20" s="138">
        <v>155</v>
      </c>
      <c r="EW20" s="138">
        <v>150</v>
      </c>
      <c r="EX20" s="138"/>
      <c r="EY20" s="138">
        <v>-1250</v>
      </c>
      <c r="EZ20" s="138">
        <v>4922</v>
      </c>
      <c r="FA20" s="138">
        <v>3666</v>
      </c>
      <c r="FB20" s="138">
        <v>1256</v>
      </c>
      <c r="FC20" s="138">
        <v>65</v>
      </c>
      <c r="FD20" s="138">
        <v>4916</v>
      </c>
      <c r="FE20" s="138">
        <v>3538</v>
      </c>
      <c r="FF20" s="138">
        <v>1378</v>
      </c>
      <c r="FG20" s="138">
        <v>65</v>
      </c>
      <c r="FH20" s="138">
        <v>3538</v>
      </c>
      <c r="FI20" s="138">
        <v>2010</v>
      </c>
      <c r="FJ20" s="138">
        <v>1528</v>
      </c>
      <c r="FK20" s="138">
        <v>65</v>
      </c>
      <c r="FL20" s="147">
        <v>5293</v>
      </c>
      <c r="FM20" s="147">
        <v>5925.4807692307695</v>
      </c>
      <c r="FO20" s="181">
        <f t="shared" si="0"/>
        <v>138.9047619047619</v>
      </c>
      <c r="FP20" s="179">
        <f t="shared" si="1"/>
        <v>113.02258901933433</v>
      </c>
      <c r="FR20" s="184"/>
      <c r="FV20" s="184">
        <v>188</v>
      </c>
      <c r="FW20" s="2">
        <f t="shared" si="2"/>
        <v>-188</v>
      </c>
    </row>
    <row r="21" spans="1:179" ht="12.75">
      <c r="A21" s="82">
        <v>75</v>
      </c>
      <c r="B21" s="80" t="s">
        <v>19</v>
      </c>
      <c r="C21" s="191">
        <v>21403</v>
      </c>
      <c r="D21" s="146"/>
      <c r="E21" s="150">
        <v>0.7394378194207837</v>
      </c>
      <c r="F21" s="150">
        <v>77.8</v>
      </c>
      <c r="G21" s="151">
        <v>-4022</v>
      </c>
      <c r="H21" s="152"/>
      <c r="I21" s="152"/>
      <c r="J21" s="152"/>
      <c r="K21" s="150">
        <v>47.6</v>
      </c>
      <c r="L21" s="151">
        <v>357</v>
      </c>
      <c r="M21" s="151">
        <v>17</v>
      </c>
      <c r="N21" s="154">
        <v>7477.26954165304</v>
      </c>
      <c r="O21" s="146">
        <v>59716</v>
      </c>
      <c r="P21" s="139">
        <v>27468</v>
      </c>
      <c r="Q21" s="139">
        <v>125325</v>
      </c>
      <c r="R21" s="139">
        <v>-97857</v>
      </c>
      <c r="S21" s="146">
        <v>72858</v>
      </c>
      <c r="T21" s="139">
        <v>31167</v>
      </c>
      <c r="U21" s="160"/>
      <c r="W21" s="138">
        <v>-1420</v>
      </c>
      <c r="X21" s="138">
        <v>2098</v>
      </c>
      <c r="Y21" s="139">
        <v>6846</v>
      </c>
      <c r="Z21" s="138">
        <v>8338</v>
      </c>
      <c r="AC21" s="139">
        <v>-1492</v>
      </c>
      <c r="AD21" s="139"/>
      <c r="AG21" s="139">
        <v>-1492</v>
      </c>
      <c r="AH21" s="139">
        <v>2271</v>
      </c>
      <c r="AI21" s="139">
        <v>6412</v>
      </c>
      <c r="AJ21" s="176"/>
      <c r="AK21" s="139">
        <v>353</v>
      </c>
      <c r="AL21" s="151">
        <v>-9905</v>
      </c>
      <c r="AM21" s="151">
        <v>-14949</v>
      </c>
      <c r="AN21" s="146">
        <v>72858</v>
      </c>
      <c r="AO21" s="139">
        <v>63805</v>
      </c>
      <c r="AP21" s="139">
        <v>4584</v>
      </c>
      <c r="AQ21" s="139">
        <v>4469</v>
      </c>
      <c r="AR21" s="114">
        <v>20</v>
      </c>
      <c r="AS21" s="152"/>
      <c r="AT21" s="138">
        <v>114</v>
      </c>
      <c r="AU21" s="191">
        <v>21256</v>
      </c>
      <c r="AV21" s="146"/>
      <c r="AW21" s="150">
        <v>0.6167615389890954</v>
      </c>
      <c r="AX21" s="150">
        <v>75.5</v>
      </c>
      <c r="AY21" s="151">
        <v>-4209</v>
      </c>
      <c r="AZ21" s="152"/>
      <c r="BA21" s="152"/>
      <c r="BB21" s="152"/>
      <c r="BC21" s="150">
        <v>46.4</v>
      </c>
      <c r="BD21" s="151">
        <v>381</v>
      </c>
      <c r="BE21" s="151">
        <v>19</v>
      </c>
      <c r="BF21" s="154">
        <v>7451.213774934136</v>
      </c>
      <c r="BG21" s="146">
        <v>61807</v>
      </c>
      <c r="BH21" s="139">
        <v>30248</v>
      </c>
      <c r="BI21" s="139">
        <v>132841</v>
      </c>
      <c r="BJ21" s="139">
        <v>-102593</v>
      </c>
      <c r="BK21" s="146">
        <v>76128</v>
      </c>
      <c r="BL21" s="146">
        <v>33171</v>
      </c>
      <c r="BM21" s="160"/>
      <c r="BO21" s="138">
        <v>-1294</v>
      </c>
      <c r="BP21" s="138">
        <v>1895</v>
      </c>
      <c r="BQ21" s="139">
        <v>7307</v>
      </c>
      <c r="BR21" s="138">
        <v>9360</v>
      </c>
      <c r="BU21" s="139">
        <v>-2053</v>
      </c>
      <c r="BV21" s="139"/>
      <c r="BY21" s="138">
        <v>-2053</v>
      </c>
      <c r="BZ21" s="139">
        <v>218</v>
      </c>
      <c r="CA21" s="139">
        <v>5695</v>
      </c>
      <c r="CB21" s="176"/>
      <c r="CC21" s="139">
        <v>792</v>
      </c>
      <c r="CD21" s="151">
        <v>-12895</v>
      </c>
      <c r="CE21" s="151">
        <v>-3344</v>
      </c>
      <c r="CF21" s="138">
        <v>76128</v>
      </c>
      <c r="CG21" s="139">
        <v>68406</v>
      </c>
      <c r="CH21" s="139">
        <v>3113</v>
      </c>
      <c r="CI21" s="139">
        <v>4609</v>
      </c>
      <c r="CJ21" s="114">
        <v>20.5</v>
      </c>
      <c r="CK21" s="152"/>
      <c r="CL21" s="138">
        <v>54</v>
      </c>
      <c r="CM21" s="190">
        <v>21203</v>
      </c>
      <c r="CN21" s="146"/>
      <c r="CO21" s="150">
        <v>0.6612967914438502</v>
      </c>
      <c r="CP21" s="150">
        <v>75.66868975365941</v>
      </c>
      <c r="CQ21" s="151">
        <v>-4142.621327170684</v>
      </c>
      <c r="CR21" s="152"/>
      <c r="CS21" s="152"/>
      <c r="CT21" s="152"/>
      <c r="CU21" s="150">
        <v>45.29686320621505</v>
      </c>
      <c r="CV21" s="151">
        <v>452.34164976654245</v>
      </c>
      <c r="CW21" s="151">
        <v>22.47592357178628</v>
      </c>
      <c r="CX21" s="154">
        <v>7345.847285761449</v>
      </c>
      <c r="CY21" s="146">
        <v>61816</v>
      </c>
      <c r="CZ21" s="139">
        <v>29076</v>
      </c>
      <c r="DA21" s="139">
        <v>133638</v>
      </c>
      <c r="DB21" s="139">
        <v>-104562</v>
      </c>
      <c r="DC21" s="146">
        <v>77426</v>
      </c>
      <c r="DD21" s="146">
        <v>34189</v>
      </c>
      <c r="DE21" s="160"/>
      <c r="DG21" s="138">
        <v>-1010</v>
      </c>
      <c r="DH21" s="138">
        <v>2487</v>
      </c>
      <c r="DI21" s="139">
        <v>8530</v>
      </c>
      <c r="DJ21" s="138">
        <v>9392</v>
      </c>
      <c r="DL21" s="138">
        <v>2336</v>
      </c>
      <c r="DM21" s="139">
        <v>-3198</v>
      </c>
      <c r="DN21" s="139"/>
      <c r="DQ21" s="138">
        <v>-3198</v>
      </c>
      <c r="DR21" s="139">
        <v>-2980</v>
      </c>
      <c r="DS21" s="139">
        <v>7280</v>
      </c>
      <c r="DT21" s="176"/>
      <c r="DU21" s="139">
        <v>-1209</v>
      </c>
      <c r="DV21" s="151">
        <v>-13597</v>
      </c>
      <c r="DW21" s="138">
        <v>1746</v>
      </c>
      <c r="DX21" s="138">
        <v>77426</v>
      </c>
      <c r="DY21" s="146">
        <v>68822</v>
      </c>
      <c r="DZ21" s="196">
        <v>3929</v>
      </c>
      <c r="EA21" s="146">
        <v>4675</v>
      </c>
      <c r="EB21" s="114">
        <v>20.5</v>
      </c>
      <c r="EC21" s="152"/>
      <c r="ED21" s="138">
        <v>87</v>
      </c>
      <c r="EE21" s="138">
        <v>46256</v>
      </c>
      <c r="EF21" s="138">
        <v>50253</v>
      </c>
      <c r="EG21" s="138">
        <v>50881</v>
      </c>
      <c r="EH21" s="138"/>
      <c r="EI21" s="138"/>
      <c r="EJ21" s="138"/>
      <c r="EK21" s="3">
        <v>-23455</v>
      </c>
      <c r="EL21" s="138">
        <v>1650</v>
      </c>
      <c r="EM21" s="138">
        <v>444</v>
      </c>
      <c r="EN21" s="3">
        <v>-11384</v>
      </c>
      <c r="EO21" s="138">
        <v>99</v>
      </c>
      <c r="EP21" s="138">
        <v>2246</v>
      </c>
      <c r="EQ21" s="3">
        <v>-7672</v>
      </c>
      <c r="ER21" s="138">
        <v>721</v>
      </c>
      <c r="ES21" s="138">
        <v>1417</v>
      </c>
      <c r="ET21" s="163">
        <v>9906</v>
      </c>
      <c r="EU21" s="163">
        <v>-2000</v>
      </c>
      <c r="EV21" s="138">
        <v>13500</v>
      </c>
      <c r="EW21" s="138"/>
      <c r="EX21" s="138">
        <v>11800</v>
      </c>
      <c r="EY21" s="138">
        <v>4602</v>
      </c>
      <c r="EZ21" s="138">
        <v>75122</v>
      </c>
      <c r="FA21" s="138">
        <v>62225</v>
      </c>
      <c r="FB21" s="138">
        <v>12897</v>
      </c>
      <c r="FC21" s="138">
        <v>6562</v>
      </c>
      <c r="FD21" s="138">
        <v>75725</v>
      </c>
      <c r="FE21" s="138">
        <v>62128</v>
      </c>
      <c r="FF21" s="138">
        <v>13597</v>
      </c>
      <c r="FG21" s="138">
        <v>6542</v>
      </c>
      <c r="FH21" s="138">
        <v>78531</v>
      </c>
      <c r="FI21" s="138">
        <v>64705</v>
      </c>
      <c r="FJ21" s="138">
        <v>13826</v>
      </c>
      <c r="FK21" s="138">
        <v>6534</v>
      </c>
      <c r="FL21" s="147">
        <v>6863</v>
      </c>
      <c r="FM21" s="147">
        <v>7108.4870154309365</v>
      </c>
      <c r="FO21" s="181">
        <f t="shared" si="0"/>
        <v>3357.170731707317</v>
      </c>
      <c r="FP21" s="179">
        <f t="shared" si="1"/>
        <v>158.33470413183593</v>
      </c>
      <c r="FR21" s="184"/>
      <c r="FV21" s="184">
        <v>9905</v>
      </c>
      <c r="FW21" s="2">
        <f t="shared" si="2"/>
        <v>-9905</v>
      </c>
    </row>
    <row r="22" spans="1:179" ht="12.75">
      <c r="A22" s="82">
        <v>77</v>
      </c>
      <c r="B22" s="80" t="s">
        <v>20</v>
      </c>
      <c r="C22" s="191">
        <v>5491</v>
      </c>
      <c r="D22" s="146"/>
      <c r="E22" s="150">
        <v>0.027216856892010536</v>
      </c>
      <c r="F22" s="150">
        <v>28.2</v>
      </c>
      <c r="G22" s="151">
        <v>-867</v>
      </c>
      <c r="H22" s="152"/>
      <c r="I22" s="152"/>
      <c r="J22" s="152"/>
      <c r="K22" s="150">
        <v>63.4</v>
      </c>
      <c r="L22" s="151">
        <v>445</v>
      </c>
      <c r="M22" s="151">
        <v>21</v>
      </c>
      <c r="N22" s="154">
        <v>7752.139865234019</v>
      </c>
      <c r="O22" s="146">
        <v>17363</v>
      </c>
      <c r="P22" s="139">
        <v>8861</v>
      </c>
      <c r="Q22" s="139">
        <v>38164</v>
      </c>
      <c r="R22" s="139">
        <v>-29303</v>
      </c>
      <c r="S22" s="146">
        <v>13096</v>
      </c>
      <c r="T22" s="139">
        <v>16043</v>
      </c>
      <c r="U22" s="160"/>
      <c r="W22" s="138">
        <v>-109</v>
      </c>
      <c r="X22" s="138">
        <v>150</v>
      </c>
      <c r="Y22" s="139">
        <v>-123</v>
      </c>
      <c r="Z22" s="138">
        <v>1003</v>
      </c>
      <c r="AC22" s="139">
        <v>-1126</v>
      </c>
      <c r="AD22" s="139">
        <v>22</v>
      </c>
      <c r="AG22" s="139">
        <v>-1104</v>
      </c>
      <c r="AH22" s="139">
        <v>-77</v>
      </c>
      <c r="AI22" s="139">
        <v>-204</v>
      </c>
      <c r="AJ22" s="176"/>
      <c r="AK22" s="139">
        <v>-1154</v>
      </c>
      <c r="AL22" s="151">
        <v>-985</v>
      </c>
      <c r="AM22" s="151">
        <v>-2193</v>
      </c>
      <c r="AN22" s="146">
        <v>13096</v>
      </c>
      <c r="AO22" s="139">
        <v>11404</v>
      </c>
      <c r="AP22" s="139">
        <v>856</v>
      </c>
      <c r="AQ22" s="139">
        <v>836</v>
      </c>
      <c r="AR22" s="114">
        <v>20</v>
      </c>
      <c r="AS22" s="152"/>
      <c r="AT22" s="138">
        <v>292</v>
      </c>
      <c r="AU22" s="191">
        <v>5453</v>
      </c>
      <c r="AV22" s="146"/>
      <c r="AW22" s="150">
        <v>1.0226293103448276</v>
      </c>
      <c r="AX22" s="150">
        <v>25.6</v>
      </c>
      <c r="AY22" s="151">
        <v>-992</v>
      </c>
      <c r="AZ22" s="152"/>
      <c r="BA22" s="152"/>
      <c r="BB22" s="152"/>
      <c r="BC22" s="150">
        <v>62.4</v>
      </c>
      <c r="BD22" s="151">
        <v>468</v>
      </c>
      <c r="BE22" s="151">
        <v>22</v>
      </c>
      <c r="BF22" s="154">
        <v>7752.796625710618</v>
      </c>
      <c r="BG22" s="146">
        <v>18356</v>
      </c>
      <c r="BH22" s="139">
        <v>9449</v>
      </c>
      <c r="BI22" s="139">
        <v>39672</v>
      </c>
      <c r="BJ22" s="139">
        <v>-30223</v>
      </c>
      <c r="BK22" s="146">
        <v>13784</v>
      </c>
      <c r="BL22" s="146">
        <v>17228</v>
      </c>
      <c r="BM22" s="160"/>
      <c r="BO22" s="138">
        <v>-158</v>
      </c>
      <c r="BP22" s="138">
        <v>150</v>
      </c>
      <c r="BQ22" s="139">
        <v>781</v>
      </c>
      <c r="BR22" s="138">
        <v>1121</v>
      </c>
      <c r="BU22" s="139">
        <v>-340</v>
      </c>
      <c r="BV22" s="139">
        <v>22</v>
      </c>
      <c r="BY22" s="138">
        <v>-318</v>
      </c>
      <c r="BZ22" s="139">
        <v>-395</v>
      </c>
      <c r="CA22" s="139">
        <v>717</v>
      </c>
      <c r="CB22" s="176"/>
      <c r="CC22" s="139">
        <v>1147</v>
      </c>
      <c r="CD22" s="151">
        <v>-760</v>
      </c>
      <c r="CE22" s="151">
        <v>-658</v>
      </c>
      <c r="CF22" s="138">
        <v>13784</v>
      </c>
      <c r="CG22" s="139">
        <v>12147</v>
      </c>
      <c r="CH22" s="139">
        <v>621</v>
      </c>
      <c r="CI22" s="139">
        <v>1016</v>
      </c>
      <c r="CJ22" s="114">
        <v>20.5</v>
      </c>
      <c r="CK22" s="152"/>
      <c r="CL22" s="138">
        <v>157</v>
      </c>
      <c r="CM22" s="190">
        <v>5404</v>
      </c>
      <c r="CN22" s="146"/>
      <c r="CO22" s="150">
        <v>-0.0664451827242525</v>
      </c>
      <c r="CP22" s="150">
        <v>30.531881503657743</v>
      </c>
      <c r="CQ22" s="151">
        <v>-1650.8142116950405</v>
      </c>
      <c r="CR22" s="152"/>
      <c r="CS22" s="152"/>
      <c r="CT22" s="152"/>
      <c r="CU22" s="150">
        <v>55.727168388260374</v>
      </c>
      <c r="CV22" s="151">
        <v>208.73427091043672</v>
      </c>
      <c r="CW22" s="151">
        <v>8.875953951623336</v>
      </c>
      <c r="CX22" s="154">
        <v>8583.641746854182</v>
      </c>
      <c r="CY22" s="146">
        <v>18606</v>
      </c>
      <c r="CZ22" s="139">
        <v>9384</v>
      </c>
      <c r="DA22" s="139">
        <v>41676</v>
      </c>
      <c r="DB22" s="139">
        <v>-32292</v>
      </c>
      <c r="DC22" s="146">
        <v>14214</v>
      </c>
      <c r="DD22" s="146">
        <v>17821</v>
      </c>
      <c r="DE22" s="160"/>
      <c r="DG22" s="138">
        <v>-139</v>
      </c>
      <c r="DH22" s="138">
        <v>193</v>
      </c>
      <c r="DI22" s="139">
        <v>-203</v>
      </c>
      <c r="DJ22" s="138">
        <v>1230</v>
      </c>
      <c r="DM22" s="139">
        <v>-1433</v>
      </c>
      <c r="DN22" s="139">
        <v>22</v>
      </c>
      <c r="DQ22" s="138">
        <v>-1411</v>
      </c>
      <c r="DR22" s="139">
        <v>-1807</v>
      </c>
      <c r="DS22" s="139">
        <v>-306</v>
      </c>
      <c r="DT22" s="176"/>
      <c r="DU22" s="139">
        <v>-262</v>
      </c>
      <c r="DV22" s="151">
        <v>-760</v>
      </c>
      <c r="DW22" s="138">
        <v>-3517</v>
      </c>
      <c r="DX22" s="138">
        <v>14214</v>
      </c>
      <c r="DY22" s="146">
        <v>12462</v>
      </c>
      <c r="DZ22" s="196">
        <v>695</v>
      </c>
      <c r="EA22" s="146">
        <v>1057</v>
      </c>
      <c r="EB22" s="114">
        <v>20.5</v>
      </c>
      <c r="EC22" s="152"/>
      <c r="ED22" s="138">
        <v>285</v>
      </c>
      <c r="EE22" s="138">
        <v>15693</v>
      </c>
      <c r="EF22" s="138">
        <v>16027</v>
      </c>
      <c r="EG22" s="138">
        <v>17818</v>
      </c>
      <c r="EH22" s="138"/>
      <c r="EI22" s="138"/>
      <c r="EJ22" s="138"/>
      <c r="EK22" s="3">
        <v>-3157</v>
      </c>
      <c r="EL22" s="138">
        <v>782</v>
      </c>
      <c r="EM22" s="138">
        <v>386</v>
      </c>
      <c r="EN22" s="3">
        <v>-1639</v>
      </c>
      <c r="EO22" s="138"/>
      <c r="EP22" s="138">
        <v>264</v>
      </c>
      <c r="EQ22" s="3">
        <v>-3662</v>
      </c>
      <c r="ER22" s="138">
        <v>289</v>
      </c>
      <c r="ES22" s="138">
        <v>163</v>
      </c>
      <c r="ET22" s="163">
        <v>3500</v>
      </c>
      <c r="EU22" s="163">
        <v>200</v>
      </c>
      <c r="EV22" s="138"/>
      <c r="EW22" s="138">
        <v>-50</v>
      </c>
      <c r="EX22" s="138">
        <v>522</v>
      </c>
      <c r="EY22" s="138">
        <v>2000</v>
      </c>
      <c r="EZ22" s="138">
        <v>5420</v>
      </c>
      <c r="FA22" s="138">
        <v>4610</v>
      </c>
      <c r="FB22" s="138">
        <v>810</v>
      </c>
      <c r="FC22" s="138">
        <v>0</v>
      </c>
      <c r="FD22" s="138">
        <v>4610</v>
      </c>
      <c r="FE22" s="138">
        <v>3850</v>
      </c>
      <c r="FF22" s="138">
        <v>760</v>
      </c>
      <c r="FG22" s="138">
        <v>0</v>
      </c>
      <c r="FH22" s="138">
        <v>6372</v>
      </c>
      <c r="FI22" s="138">
        <v>3612</v>
      </c>
      <c r="FJ22" s="138">
        <v>2760</v>
      </c>
      <c r="FK22" s="138">
        <v>0</v>
      </c>
      <c r="FL22" s="147">
        <v>2250</v>
      </c>
      <c r="FM22" s="147">
        <v>2031.7256556024206</v>
      </c>
      <c r="FO22" s="181">
        <f t="shared" si="0"/>
        <v>607.9024390243902</v>
      </c>
      <c r="FP22" s="179">
        <f t="shared" si="1"/>
        <v>112.49119893123431</v>
      </c>
      <c r="FR22" s="184"/>
      <c r="FV22" s="184">
        <v>985</v>
      </c>
      <c r="FW22" s="2">
        <f t="shared" si="2"/>
        <v>-985</v>
      </c>
    </row>
    <row r="23" spans="1:179" ht="12.75">
      <c r="A23" s="82">
        <v>78</v>
      </c>
      <c r="B23" s="80" t="s">
        <v>21</v>
      </c>
      <c r="C23" s="191">
        <v>9417</v>
      </c>
      <c r="D23" s="146"/>
      <c r="E23" s="150">
        <v>0.6773709688416172</v>
      </c>
      <c r="F23" s="150">
        <v>76.9</v>
      </c>
      <c r="G23" s="151">
        <v>-5577</v>
      </c>
      <c r="H23" s="152"/>
      <c r="I23" s="152"/>
      <c r="J23" s="152"/>
      <c r="K23" s="150">
        <v>31.9</v>
      </c>
      <c r="L23" s="151">
        <v>183</v>
      </c>
      <c r="M23" s="151">
        <v>7</v>
      </c>
      <c r="N23" s="154">
        <v>9252.522034618243</v>
      </c>
      <c r="O23" s="146">
        <v>30140</v>
      </c>
      <c r="P23" s="139">
        <v>24670</v>
      </c>
      <c r="Q23" s="139">
        <v>66563</v>
      </c>
      <c r="R23" s="139">
        <v>-41893</v>
      </c>
      <c r="S23" s="146">
        <v>39376</v>
      </c>
      <c r="T23" s="139">
        <v>12111</v>
      </c>
      <c r="U23" s="160"/>
      <c r="W23" s="138">
        <v>-1296</v>
      </c>
      <c r="X23" s="138">
        <v>270</v>
      </c>
      <c r="Y23" s="139">
        <v>8568</v>
      </c>
      <c r="Z23" s="138">
        <v>6233</v>
      </c>
      <c r="AC23" s="139">
        <v>2335</v>
      </c>
      <c r="AD23" s="139">
        <v>10</v>
      </c>
      <c r="AG23" s="139">
        <v>2345</v>
      </c>
      <c r="AH23" s="139">
        <v>-9364</v>
      </c>
      <c r="AI23" s="139">
        <v>7374</v>
      </c>
      <c r="AJ23" s="176"/>
      <c r="AK23" s="138">
        <v>780</v>
      </c>
      <c r="AL23" s="151">
        <v>-13300</v>
      </c>
      <c r="AM23" s="151">
        <v>2912</v>
      </c>
      <c r="AN23" s="146">
        <v>39376</v>
      </c>
      <c r="AO23" s="139">
        <v>33715</v>
      </c>
      <c r="AP23" s="139">
        <v>3728</v>
      </c>
      <c r="AQ23" s="139">
        <v>1933</v>
      </c>
      <c r="AR23" s="114">
        <v>20.75</v>
      </c>
      <c r="AS23" s="152"/>
      <c r="AT23" s="138">
        <v>8</v>
      </c>
      <c r="AU23" s="191">
        <v>9267</v>
      </c>
      <c r="AV23" s="146"/>
      <c r="AW23" s="150">
        <v>0.24535619514186569</v>
      </c>
      <c r="AX23" s="150">
        <v>82.6</v>
      </c>
      <c r="AY23" s="151">
        <v>-6074</v>
      </c>
      <c r="AZ23" s="152"/>
      <c r="BA23" s="152"/>
      <c r="BB23" s="152"/>
      <c r="BC23" s="150">
        <v>27.8</v>
      </c>
      <c r="BD23" s="151">
        <v>85</v>
      </c>
      <c r="BE23" s="151">
        <v>3</v>
      </c>
      <c r="BF23" s="154">
        <v>9348.548613359231</v>
      </c>
      <c r="BG23" s="146">
        <v>31646</v>
      </c>
      <c r="BH23" s="139">
        <v>23792</v>
      </c>
      <c r="BI23" s="139">
        <v>71200</v>
      </c>
      <c r="BJ23" s="139">
        <v>-47408</v>
      </c>
      <c r="BK23" s="146">
        <v>37701</v>
      </c>
      <c r="BL23" s="146">
        <v>12279</v>
      </c>
      <c r="BM23" s="160"/>
      <c r="BO23" s="138">
        <v>-682</v>
      </c>
      <c r="BP23" s="138">
        <v>-219</v>
      </c>
      <c r="BQ23" s="139">
        <v>1671</v>
      </c>
      <c r="BR23" s="138">
        <v>6027</v>
      </c>
      <c r="BU23" s="139">
        <v>-4356</v>
      </c>
      <c r="BV23" s="139">
        <v>10</v>
      </c>
      <c r="BY23" s="138">
        <v>-4346</v>
      </c>
      <c r="BZ23" s="139">
        <v>-13710</v>
      </c>
      <c r="CA23" s="139">
        <v>817</v>
      </c>
      <c r="CB23" s="176"/>
      <c r="CC23" s="138">
        <v>449</v>
      </c>
      <c r="CD23" s="151">
        <v>-9065</v>
      </c>
      <c r="CE23" s="151">
        <v>-3789</v>
      </c>
      <c r="CF23" s="138">
        <v>37701</v>
      </c>
      <c r="CG23" s="139">
        <v>33387</v>
      </c>
      <c r="CH23" s="139">
        <v>2371</v>
      </c>
      <c r="CI23" s="139">
        <v>1943</v>
      </c>
      <c r="CJ23" s="114">
        <v>20.75</v>
      </c>
      <c r="CK23" s="152"/>
      <c r="CL23" s="138">
        <v>129</v>
      </c>
      <c r="CM23" s="190">
        <v>9109</v>
      </c>
      <c r="CN23" s="146"/>
      <c r="CO23" s="150">
        <v>0.6045995561831753</v>
      </c>
      <c r="CP23" s="150">
        <v>79.2712949286066</v>
      </c>
      <c r="CQ23" s="151">
        <v>-6208.255571412888</v>
      </c>
      <c r="CR23" s="152"/>
      <c r="CS23" s="152"/>
      <c r="CT23" s="152"/>
      <c r="CU23" s="150">
        <v>40.67207946922767</v>
      </c>
      <c r="CV23" s="151">
        <v>74.21231748819848</v>
      </c>
      <c r="CW23" s="151">
        <v>2.012823859557528</v>
      </c>
      <c r="CX23" s="154">
        <v>13457.45965528598</v>
      </c>
      <c r="CY23" s="146">
        <v>31551</v>
      </c>
      <c r="CZ23" s="139">
        <v>23467</v>
      </c>
      <c r="DA23" s="139">
        <v>69710</v>
      </c>
      <c r="DB23" s="139">
        <v>-46243</v>
      </c>
      <c r="DC23" s="146">
        <v>38761</v>
      </c>
      <c r="DD23" s="146">
        <v>13227</v>
      </c>
      <c r="DE23" s="160"/>
      <c r="DG23" s="138">
        <v>-822</v>
      </c>
      <c r="DH23" s="138">
        <v>222</v>
      </c>
      <c r="DI23" s="139">
        <v>5145</v>
      </c>
      <c r="DJ23" s="138">
        <v>5778</v>
      </c>
      <c r="DK23" s="138">
        <v>19732</v>
      </c>
      <c r="DM23" s="139">
        <v>19099</v>
      </c>
      <c r="DN23" s="139">
        <v>10</v>
      </c>
      <c r="DQ23" s="138">
        <v>19109</v>
      </c>
      <c r="DR23" s="139">
        <v>5398</v>
      </c>
      <c r="DS23" s="139">
        <v>4250</v>
      </c>
      <c r="DT23" s="176"/>
      <c r="DU23" s="138">
        <v>1208</v>
      </c>
      <c r="DV23" s="151">
        <v>-9065</v>
      </c>
      <c r="DW23" s="138">
        <v>28371</v>
      </c>
      <c r="DX23" s="138">
        <v>38761</v>
      </c>
      <c r="DY23" s="146">
        <v>34072</v>
      </c>
      <c r="DZ23" s="196">
        <v>2661</v>
      </c>
      <c r="EA23" s="146">
        <v>2028</v>
      </c>
      <c r="EB23" s="114">
        <v>21.25</v>
      </c>
      <c r="EC23" s="152"/>
      <c r="ED23" s="138">
        <v>38</v>
      </c>
      <c r="EE23" s="138">
        <v>27100</v>
      </c>
      <c r="EF23" s="138">
        <v>29461</v>
      </c>
      <c r="EG23" s="138">
        <v>28296</v>
      </c>
      <c r="EH23" s="138"/>
      <c r="EI23" s="138"/>
      <c r="EJ23" s="138">
        <v>830</v>
      </c>
      <c r="EK23" s="3">
        <v>-6133</v>
      </c>
      <c r="EL23" s="138">
        <v>534</v>
      </c>
      <c r="EM23" s="138">
        <v>1137</v>
      </c>
      <c r="EN23" s="3">
        <v>-5536</v>
      </c>
      <c r="EO23" s="138">
        <v>90</v>
      </c>
      <c r="EP23" s="138">
        <v>840</v>
      </c>
      <c r="EQ23" s="3">
        <v>-14526</v>
      </c>
      <c r="ER23" s="138">
        <v>908</v>
      </c>
      <c r="ES23" s="138">
        <v>37739</v>
      </c>
      <c r="ET23" s="163">
        <v>10000</v>
      </c>
      <c r="EU23" s="163">
        <v>-295</v>
      </c>
      <c r="EV23" s="138">
        <v>10000</v>
      </c>
      <c r="EW23" s="138"/>
      <c r="EX23" s="138">
        <v>10190</v>
      </c>
      <c r="EY23" s="138">
        <v>46</v>
      </c>
      <c r="EZ23" s="138">
        <v>49828</v>
      </c>
      <c r="FA23" s="138">
        <v>17263</v>
      </c>
      <c r="FB23" s="138">
        <v>32564</v>
      </c>
      <c r="FC23" s="138">
        <v>1704</v>
      </c>
      <c r="FD23" s="138">
        <v>50762</v>
      </c>
      <c r="FE23" s="138">
        <v>13387</v>
      </c>
      <c r="FF23" s="138">
        <v>37375</v>
      </c>
      <c r="FG23" s="138">
        <v>1704</v>
      </c>
      <c r="FH23" s="138">
        <v>51934</v>
      </c>
      <c r="FI23" s="138">
        <v>10163</v>
      </c>
      <c r="FJ23" s="138">
        <v>41771</v>
      </c>
      <c r="FK23" s="138">
        <v>30427</v>
      </c>
      <c r="FL23" s="147">
        <v>6386</v>
      </c>
      <c r="FM23" s="147">
        <v>6604.510629114061</v>
      </c>
      <c r="FO23" s="181">
        <f t="shared" si="0"/>
        <v>1603.3882352941177</v>
      </c>
      <c r="FP23" s="179">
        <f t="shared" si="1"/>
        <v>176.02242126403752</v>
      </c>
      <c r="FR23" s="184"/>
      <c r="FV23" s="184">
        <v>13300</v>
      </c>
      <c r="FW23" s="2">
        <f t="shared" si="2"/>
        <v>-13300</v>
      </c>
    </row>
    <row r="24" spans="1:179" ht="12.75">
      <c r="A24" s="82">
        <v>79</v>
      </c>
      <c r="B24" s="80" t="s">
        <v>22</v>
      </c>
      <c r="C24" s="191">
        <v>7504</v>
      </c>
      <c r="D24" s="146"/>
      <c r="F24" s="150">
        <v>12</v>
      </c>
      <c r="G24" s="151">
        <v>905</v>
      </c>
      <c r="H24" s="152"/>
      <c r="I24" s="152"/>
      <c r="J24" s="152"/>
      <c r="K24" s="150">
        <v>86.8</v>
      </c>
      <c r="L24" s="151">
        <v>1134</v>
      </c>
      <c r="M24" s="151">
        <v>68</v>
      </c>
      <c r="N24" s="154">
        <v>6045.842217484009</v>
      </c>
      <c r="O24" s="146">
        <v>14516</v>
      </c>
      <c r="P24" s="139">
        <v>5920</v>
      </c>
      <c r="Q24" s="139">
        <v>42865</v>
      </c>
      <c r="R24" s="139">
        <v>-36945</v>
      </c>
      <c r="S24" s="146">
        <v>26250</v>
      </c>
      <c r="T24" s="139">
        <v>8494</v>
      </c>
      <c r="U24" s="160"/>
      <c r="W24" s="138">
        <v>242</v>
      </c>
      <c r="X24" s="138">
        <v>148</v>
      </c>
      <c r="Y24" s="139">
        <v>-1811</v>
      </c>
      <c r="Z24" s="138">
        <v>1154</v>
      </c>
      <c r="AB24" s="139"/>
      <c r="AC24" s="139">
        <v>-2965</v>
      </c>
      <c r="AE24" s="139"/>
      <c r="AG24" s="139">
        <v>-2965</v>
      </c>
      <c r="AH24" s="139">
        <v>14731</v>
      </c>
      <c r="AI24" s="139">
        <v>-1810</v>
      </c>
      <c r="AJ24" s="176"/>
      <c r="AK24" s="139">
        <v>71</v>
      </c>
      <c r="AL24" s="151">
        <v>0</v>
      </c>
      <c r="AM24" s="151">
        <v>-4212</v>
      </c>
      <c r="AN24" s="146">
        <v>26250</v>
      </c>
      <c r="AO24" s="139">
        <v>21035</v>
      </c>
      <c r="AP24" s="139">
        <v>3764</v>
      </c>
      <c r="AQ24" s="139">
        <v>1451</v>
      </c>
      <c r="AR24" s="114">
        <v>18.75</v>
      </c>
      <c r="AS24" s="152"/>
      <c r="AT24" s="138">
        <v>317</v>
      </c>
      <c r="AU24" s="191">
        <v>7486</v>
      </c>
      <c r="AV24" s="146"/>
      <c r="AW24" s="150">
        <v>-4404</v>
      </c>
      <c r="AX24" s="150">
        <v>26.8</v>
      </c>
      <c r="AY24" s="151">
        <v>-934</v>
      </c>
      <c r="AZ24" s="152"/>
      <c r="BA24" s="152"/>
      <c r="BB24" s="152"/>
      <c r="BC24" s="150">
        <v>70.8</v>
      </c>
      <c r="BD24" s="151">
        <v>180</v>
      </c>
      <c r="BE24" s="151">
        <v>9</v>
      </c>
      <c r="BF24" s="154">
        <v>7483.034998664173</v>
      </c>
      <c r="BG24" s="146">
        <v>15279</v>
      </c>
      <c r="BH24" s="139">
        <v>6250</v>
      </c>
      <c r="BI24" s="139">
        <v>46218</v>
      </c>
      <c r="BJ24" s="139">
        <v>-39968</v>
      </c>
      <c r="BK24" s="146">
        <v>24509</v>
      </c>
      <c r="BL24" s="146">
        <v>10848</v>
      </c>
      <c r="BM24" s="160"/>
      <c r="BO24" s="138">
        <v>107</v>
      </c>
      <c r="BP24" s="138">
        <v>99</v>
      </c>
      <c r="BQ24" s="139">
        <v>-4405</v>
      </c>
      <c r="BR24" s="138">
        <v>1241</v>
      </c>
      <c r="BT24" s="139"/>
      <c r="BU24" s="139">
        <v>-5646</v>
      </c>
      <c r="BW24" s="139"/>
      <c r="BY24" s="138">
        <v>-5646</v>
      </c>
      <c r="BZ24" s="139">
        <v>9086</v>
      </c>
      <c r="CA24" s="139">
        <v>-4464</v>
      </c>
      <c r="CB24" s="176"/>
      <c r="CC24" s="139">
        <v>397</v>
      </c>
      <c r="CD24" s="151">
        <v>0</v>
      </c>
      <c r="CE24" s="151">
        <v>-13787</v>
      </c>
      <c r="CF24" s="138">
        <v>24509</v>
      </c>
      <c r="CG24" s="139">
        <v>21426</v>
      </c>
      <c r="CH24" s="139">
        <v>1607</v>
      </c>
      <c r="CI24" s="139">
        <v>1476</v>
      </c>
      <c r="CJ24" s="114">
        <v>18.75</v>
      </c>
      <c r="CK24" s="152"/>
      <c r="CL24" s="138">
        <v>319</v>
      </c>
      <c r="CM24" s="190">
        <v>7407</v>
      </c>
      <c r="CN24" s="146"/>
      <c r="CO24" s="150">
        <v>1.9194729136163982</v>
      </c>
      <c r="CP24" s="150">
        <v>38.49316701096456</v>
      </c>
      <c r="CQ24" s="151">
        <v>-2071.2839206156336</v>
      </c>
      <c r="CR24" s="152"/>
      <c r="CS24" s="152"/>
      <c r="CT24" s="152"/>
      <c r="CU24" s="150">
        <v>57.95144748799169</v>
      </c>
      <c r="CV24" s="151">
        <v>114.75631159713784</v>
      </c>
      <c r="CW24" s="151">
        <v>5.089820359281437</v>
      </c>
      <c r="CX24" s="154">
        <v>8229.377615768866</v>
      </c>
      <c r="CY24" s="146">
        <v>15788</v>
      </c>
      <c r="CZ24" s="139">
        <v>8954</v>
      </c>
      <c r="DA24" s="139">
        <v>49206</v>
      </c>
      <c r="DB24" s="139">
        <v>-40252</v>
      </c>
      <c r="DC24" s="146">
        <v>27742</v>
      </c>
      <c r="DD24" s="146">
        <v>13714</v>
      </c>
      <c r="DE24" s="160"/>
      <c r="DG24" s="138">
        <v>-64</v>
      </c>
      <c r="DH24" s="138">
        <v>59</v>
      </c>
      <c r="DI24" s="139">
        <v>1199</v>
      </c>
      <c r="DJ24" s="138">
        <v>1515</v>
      </c>
      <c r="DL24" s="139"/>
      <c r="DM24" s="139">
        <v>-316</v>
      </c>
      <c r="DO24" s="139"/>
      <c r="DQ24" s="138">
        <v>-316</v>
      </c>
      <c r="DR24" s="139">
        <v>8771</v>
      </c>
      <c r="DS24" s="139">
        <v>-123</v>
      </c>
      <c r="DT24" s="176"/>
      <c r="DU24" s="139">
        <v>-407</v>
      </c>
      <c r="DV24" s="151">
        <v>-571</v>
      </c>
      <c r="DW24" s="138">
        <v>-8373</v>
      </c>
      <c r="DX24" s="138">
        <v>27742</v>
      </c>
      <c r="DY24" s="146">
        <v>22592</v>
      </c>
      <c r="DZ24" s="196">
        <v>3632</v>
      </c>
      <c r="EA24" s="146">
        <v>1518</v>
      </c>
      <c r="EB24" s="114">
        <v>18.75</v>
      </c>
      <c r="EC24" s="152"/>
      <c r="ED24" s="138">
        <v>222</v>
      </c>
      <c r="EE24" s="138">
        <v>24113</v>
      </c>
      <c r="EF24" s="138">
        <v>26431</v>
      </c>
      <c r="EG24" s="138">
        <v>28636</v>
      </c>
      <c r="EH24" s="138"/>
      <c r="EI24" s="138"/>
      <c r="EJ24" s="138"/>
      <c r="EK24" s="3">
        <v>-2521</v>
      </c>
      <c r="EL24" s="138"/>
      <c r="EM24" s="138">
        <v>119</v>
      </c>
      <c r="EN24" s="3">
        <v>-9879</v>
      </c>
      <c r="EO24" s="138">
        <v>480</v>
      </c>
      <c r="EP24" s="138">
        <v>76</v>
      </c>
      <c r="EQ24" s="3">
        <v>-11097</v>
      </c>
      <c r="ER24" s="138">
        <v>848</v>
      </c>
      <c r="ES24" s="138">
        <v>1999</v>
      </c>
      <c r="ET24" s="163"/>
      <c r="EU24" s="163"/>
      <c r="EV24" s="138"/>
      <c r="EW24" s="138">
        <v>5000</v>
      </c>
      <c r="EX24" s="138">
        <v>10000</v>
      </c>
      <c r="EY24" s="138">
        <v>-1000</v>
      </c>
      <c r="EZ24" s="138">
        <v>0</v>
      </c>
      <c r="FA24" s="138">
        <v>0</v>
      </c>
      <c r="FB24" s="138">
        <v>0</v>
      </c>
      <c r="FC24" s="138">
        <v>32</v>
      </c>
      <c r="FD24" s="138">
        <v>5000</v>
      </c>
      <c r="FE24" s="138">
        <v>0</v>
      </c>
      <c r="FF24" s="138">
        <v>5000</v>
      </c>
      <c r="FG24" s="138">
        <v>32</v>
      </c>
      <c r="FH24" s="138">
        <v>13429</v>
      </c>
      <c r="FI24" s="138">
        <v>8000</v>
      </c>
      <c r="FJ24" s="138">
        <v>5429</v>
      </c>
      <c r="FK24" s="138">
        <v>32</v>
      </c>
      <c r="FL24" s="147">
        <v>455</v>
      </c>
      <c r="FM24" s="147">
        <v>1292.9468340903018</v>
      </c>
      <c r="FO24" s="181">
        <f t="shared" si="0"/>
        <v>1204.9066666666668</v>
      </c>
      <c r="FP24" s="179">
        <f t="shared" si="1"/>
        <v>162.67134692408084</v>
      </c>
      <c r="FR24" s="184"/>
      <c r="FV24" s="184">
        <v>0</v>
      </c>
      <c r="FW24" s="2">
        <f t="shared" si="2"/>
        <v>0</v>
      </c>
    </row>
    <row r="25" spans="1:179" ht="12.75">
      <c r="A25" s="82">
        <v>81</v>
      </c>
      <c r="B25" s="80" t="s">
        <v>23</v>
      </c>
      <c r="C25" s="191">
        <v>3292</v>
      </c>
      <c r="D25" s="146"/>
      <c r="E25" s="150">
        <v>0.7305986696230599</v>
      </c>
      <c r="F25" s="150">
        <v>50.2</v>
      </c>
      <c r="G25" s="151">
        <v>-2163</v>
      </c>
      <c r="H25" s="152"/>
      <c r="I25" s="152"/>
      <c r="J25" s="152"/>
      <c r="K25" s="150">
        <v>34.4</v>
      </c>
      <c r="L25" s="151">
        <v>548</v>
      </c>
      <c r="M25" s="151">
        <v>31</v>
      </c>
      <c r="N25" s="154">
        <v>6544.349939246658</v>
      </c>
      <c r="O25" s="146">
        <v>4787</v>
      </c>
      <c r="P25" s="139">
        <v>2769</v>
      </c>
      <c r="Q25" s="139">
        <v>18993</v>
      </c>
      <c r="R25" s="139">
        <v>-16224</v>
      </c>
      <c r="S25" s="146">
        <v>9709</v>
      </c>
      <c r="T25" s="139">
        <v>7757</v>
      </c>
      <c r="U25" s="160"/>
      <c r="W25" s="138">
        <v>-234</v>
      </c>
      <c r="X25" s="138">
        <v>51</v>
      </c>
      <c r="Y25" s="139">
        <v>1059</v>
      </c>
      <c r="Z25" s="138">
        <v>584</v>
      </c>
      <c r="AB25" s="138">
        <v>430</v>
      </c>
      <c r="AC25" s="139">
        <v>45</v>
      </c>
      <c r="AG25" s="139">
        <v>45</v>
      </c>
      <c r="AH25" s="139">
        <v>-140</v>
      </c>
      <c r="AI25" s="139">
        <v>541</v>
      </c>
      <c r="AJ25" s="176"/>
      <c r="AK25" s="139">
        <v>448</v>
      </c>
      <c r="AL25" s="151">
        <v>-1545</v>
      </c>
      <c r="AM25" s="151">
        <v>-39</v>
      </c>
      <c r="AN25" s="146">
        <v>9709</v>
      </c>
      <c r="AO25" s="139">
        <v>7380</v>
      </c>
      <c r="AP25" s="139">
        <v>1164</v>
      </c>
      <c r="AQ25" s="139">
        <v>1165</v>
      </c>
      <c r="AR25" s="114">
        <v>20.5</v>
      </c>
      <c r="AS25" s="152"/>
      <c r="AT25" s="138">
        <v>113</v>
      </c>
      <c r="AU25" s="191">
        <v>3205</v>
      </c>
      <c r="AV25" s="146"/>
      <c r="AW25" s="150">
        <v>-0.19248554913294796</v>
      </c>
      <c r="AX25" s="150">
        <v>47.9</v>
      </c>
      <c r="AY25" s="151">
        <v>-2568</v>
      </c>
      <c r="AZ25" s="152"/>
      <c r="BA25" s="152"/>
      <c r="BB25" s="152"/>
      <c r="BC25" s="150">
        <v>30.4</v>
      </c>
      <c r="BD25" s="151">
        <v>210</v>
      </c>
      <c r="BE25" s="151">
        <v>11</v>
      </c>
      <c r="BF25" s="154">
        <v>7255.85023400936</v>
      </c>
      <c r="BG25" s="146">
        <v>5007</v>
      </c>
      <c r="BH25" s="139">
        <v>2758</v>
      </c>
      <c r="BI25" s="139">
        <v>20659</v>
      </c>
      <c r="BJ25" s="139">
        <v>-17901</v>
      </c>
      <c r="BK25" s="146">
        <v>9207</v>
      </c>
      <c r="BL25" s="146">
        <v>8297</v>
      </c>
      <c r="BM25" s="160"/>
      <c r="BO25" s="138">
        <v>-193</v>
      </c>
      <c r="BP25" s="138">
        <v>52</v>
      </c>
      <c r="BQ25" s="139">
        <v>-538</v>
      </c>
      <c r="BR25" s="138">
        <v>542</v>
      </c>
      <c r="BU25" s="139">
        <v>-1080</v>
      </c>
      <c r="BY25" s="138">
        <v>-1080</v>
      </c>
      <c r="BZ25" s="139">
        <v>-1221</v>
      </c>
      <c r="CA25" s="139">
        <v>-529</v>
      </c>
      <c r="CB25" s="176"/>
      <c r="CC25" s="139">
        <v>414</v>
      </c>
      <c r="CD25" s="151">
        <v>-1525</v>
      </c>
      <c r="CE25" s="151">
        <v>-886</v>
      </c>
      <c r="CF25" s="138">
        <v>9207</v>
      </c>
      <c r="CG25" s="139">
        <v>7288</v>
      </c>
      <c r="CH25" s="139">
        <v>734</v>
      </c>
      <c r="CI25" s="139">
        <v>1185</v>
      </c>
      <c r="CJ25" s="114">
        <v>20.5</v>
      </c>
      <c r="CK25" s="152"/>
      <c r="CL25" s="138">
        <v>297</v>
      </c>
      <c r="CM25" s="190">
        <v>3098</v>
      </c>
      <c r="CN25" s="146"/>
      <c r="CO25" s="150">
        <v>0.3184971098265896</v>
      </c>
      <c r="CP25" s="150">
        <v>50.52305128679874</v>
      </c>
      <c r="CQ25" s="151">
        <v>-2967.3983214977407</v>
      </c>
      <c r="CR25" s="152"/>
      <c r="CS25" s="152"/>
      <c r="CT25" s="152"/>
      <c r="CU25" s="150">
        <v>25.804940089698107</v>
      </c>
      <c r="CV25" s="151">
        <v>297.2885732730794</v>
      </c>
      <c r="CW25" s="151">
        <v>13.814621517218706</v>
      </c>
      <c r="CX25" s="154">
        <v>7854.744996772111</v>
      </c>
      <c r="CY25" s="146">
        <v>4985</v>
      </c>
      <c r="CZ25" s="139">
        <v>2979</v>
      </c>
      <c r="DA25" s="139">
        <v>21127</v>
      </c>
      <c r="DB25" s="139">
        <v>-18148</v>
      </c>
      <c r="DC25" s="146">
        <v>9585</v>
      </c>
      <c r="DD25" s="146">
        <v>9048</v>
      </c>
      <c r="DE25" s="160"/>
      <c r="DG25" s="138">
        <v>-159</v>
      </c>
      <c r="DH25" s="138">
        <v>46</v>
      </c>
      <c r="DI25" s="139">
        <v>372</v>
      </c>
      <c r="DJ25" s="138">
        <v>558</v>
      </c>
      <c r="DL25" s="138">
        <v>268</v>
      </c>
      <c r="DM25" s="139">
        <v>-454</v>
      </c>
      <c r="DQ25" s="138">
        <v>-454</v>
      </c>
      <c r="DR25" s="139">
        <v>-1675</v>
      </c>
      <c r="DS25" s="139">
        <v>22</v>
      </c>
      <c r="DT25" s="176"/>
      <c r="DU25" s="139">
        <v>13</v>
      </c>
      <c r="DV25" s="151">
        <v>-1551</v>
      </c>
      <c r="DW25" s="138">
        <v>-1031</v>
      </c>
      <c r="DX25" s="138">
        <v>9585</v>
      </c>
      <c r="DY25" s="146">
        <v>7397</v>
      </c>
      <c r="DZ25" s="196">
        <v>962</v>
      </c>
      <c r="EA25" s="146">
        <v>1226</v>
      </c>
      <c r="EB25" s="114">
        <v>21</v>
      </c>
      <c r="EC25" s="152"/>
      <c r="ED25" s="138">
        <v>235</v>
      </c>
      <c r="EE25" s="138">
        <v>12982</v>
      </c>
      <c r="EF25" s="138">
        <v>14269</v>
      </c>
      <c r="EG25" s="138">
        <v>14845</v>
      </c>
      <c r="EH25" s="138"/>
      <c r="EI25" s="138"/>
      <c r="EJ25" s="138">
        <v>420</v>
      </c>
      <c r="EK25" s="3">
        <v>-747</v>
      </c>
      <c r="EL25" s="138"/>
      <c r="EM25" s="138">
        <v>167</v>
      </c>
      <c r="EN25" s="3">
        <v>-566</v>
      </c>
      <c r="EO25" s="138">
        <v>102</v>
      </c>
      <c r="EP25" s="138">
        <v>107</v>
      </c>
      <c r="EQ25" s="3">
        <v>-1485</v>
      </c>
      <c r="ER25" s="138">
        <v>258</v>
      </c>
      <c r="ES25" s="138">
        <v>174</v>
      </c>
      <c r="ET25" s="163"/>
      <c r="EU25" s="163"/>
      <c r="EV25" s="138">
        <v>1500</v>
      </c>
      <c r="EW25" s="138"/>
      <c r="EX25" s="138">
        <v>2000</v>
      </c>
      <c r="EY25" s="138">
        <v>500</v>
      </c>
      <c r="EZ25" s="138">
        <v>7292</v>
      </c>
      <c r="FA25" s="138">
        <v>5767</v>
      </c>
      <c r="FB25" s="138">
        <v>1525</v>
      </c>
      <c r="FC25" s="138">
        <v>86</v>
      </c>
      <c r="FD25" s="138">
        <v>7266</v>
      </c>
      <c r="FE25" s="138">
        <v>5715</v>
      </c>
      <c r="FF25" s="138">
        <v>1551</v>
      </c>
      <c r="FG25" s="138">
        <v>339</v>
      </c>
      <c r="FH25" s="138">
        <v>8215</v>
      </c>
      <c r="FI25" s="138">
        <v>6218</v>
      </c>
      <c r="FJ25" s="138">
        <v>1997</v>
      </c>
      <c r="FK25" s="138">
        <v>291</v>
      </c>
      <c r="FL25" s="147">
        <v>8614</v>
      </c>
      <c r="FM25" s="147">
        <v>8654.914196567863</v>
      </c>
      <c r="FO25" s="181">
        <f t="shared" si="0"/>
        <v>352.23809523809524</v>
      </c>
      <c r="FP25" s="179">
        <f t="shared" si="1"/>
        <v>113.69854591287775</v>
      </c>
      <c r="FR25" s="184"/>
      <c r="FV25" s="184">
        <v>1545</v>
      </c>
      <c r="FW25" s="2">
        <f t="shared" si="2"/>
        <v>-1545</v>
      </c>
    </row>
    <row r="26" spans="1:179" ht="12.75">
      <c r="A26" s="82">
        <v>82</v>
      </c>
      <c r="B26" s="80" t="s">
        <v>24</v>
      </c>
      <c r="C26" s="191">
        <v>9682</v>
      </c>
      <c r="D26" s="146"/>
      <c r="E26" s="150">
        <v>0.9237147595356551</v>
      </c>
      <c r="F26" s="150">
        <v>54.6</v>
      </c>
      <c r="G26" s="151">
        <v>-2516</v>
      </c>
      <c r="H26" s="152"/>
      <c r="I26" s="152"/>
      <c r="J26" s="152"/>
      <c r="K26" s="150">
        <v>46.7</v>
      </c>
      <c r="L26" s="151">
        <v>2</v>
      </c>
      <c r="M26" s="151">
        <v>0</v>
      </c>
      <c r="N26" s="154">
        <v>5590.373889692212</v>
      </c>
      <c r="O26" s="146">
        <v>19257</v>
      </c>
      <c r="P26" s="139">
        <v>4746</v>
      </c>
      <c r="Q26" s="139">
        <v>45590</v>
      </c>
      <c r="R26" s="139">
        <v>-40844</v>
      </c>
      <c r="S26" s="146">
        <v>31701</v>
      </c>
      <c r="T26" s="139">
        <v>10560</v>
      </c>
      <c r="U26" s="160"/>
      <c r="W26" s="138">
        <v>-185</v>
      </c>
      <c r="X26" s="138">
        <v>50</v>
      </c>
      <c r="Y26" s="139">
        <v>1282</v>
      </c>
      <c r="Z26" s="138">
        <v>1435</v>
      </c>
      <c r="AC26" s="139">
        <v>-153</v>
      </c>
      <c r="AG26" s="139">
        <v>-153</v>
      </c>
      <c r="AH26" s="139">
        <v>3049</v>
      </c>
      <c r="AI26" s="139">
        <v>1155</v>
      </c>
      <c r="AJ26" s="176"/>
      <c r="AK26" s="139">
        <v>-247</v>
      </c>
      <c r="AL26" s="151">
        <v>-1420</v>
      </c>
      <c r="AM26" s="151">
        <v>-5231</v>
      </c>
      <c r="AN26" s="146">
        <v>31701</v>
      </c>
      <c r="AO26" s="139">
        <v>29224</v>
      </c>
      <c r="AP26" s="139">
        <v>1313</v>
      </c>
      <c r="AQ26" s="139">
        <v>1164</v>
      </c>
      <c r="AR26" s="114">
        <v>19.25</v>
      </c>
      <c r="AS26" s="152"/>
      <c r="AT26" s="138">
        <v>243</v>
      </c>
      <c r="AU26" s="191">
        <v>9720</v>
      </c>
      <c r="AV26" s="146"/>
      <c r="AW26" s="150">
        <v>-0.010962241169305725</v>
      </c>
      <c r="AX26" s="150">
        <v>63.3</v>
      </c>
      <c r="AY26" s="151">
        <v>-2945</v>
      </c>
      <c r="AZ26" s="152"/>
      <c r="BA26" s="152"/>
      <c r="BB26" s="152"/>
      <c r="BC26" s="150">
        <v>40.9</v>
      </c>
      <c r="BD26" s="151">
        <v>9</v>
      </c>
      <c r="BE26" s="151">
        <v>1</v>
      </c>
      <c r="BF26" s="154">
        <v>5551.851851851852</v>
      </c>
      <c r="BG26" s="146">
        <v>20330</v>
      </c>
      <c r="BH26" s="139">
        <v>5021</v>
      </c>
      <c r="BI26" s="139">
        <v>47603</v>
      </c>
      <c r="BJ26" s="139">
        <v>-42582</v>
      </c>
      <c r="BK26" s="146">
        <v>32043</v>
      </c>
      <c r="BL26" s="146">
        <v>10265</v>
      </c>
      <c r="BM26" s="160"/>
      <c r="BO26" s="138">
        <v>-199</v>
      </c>
      <c r="BP26" s="138">
        <v>41</v>
      </c>
      <c r="BQ26" s="139">
        <v>-432</v>
      </c>
      <c r="BR26" s="138">
        <v>1374</v>
      </c>
      <c r="BU26" s="139">
        <v>-1806</v>
      </c>
      <c r="BY26" s="138">
        <v>-1806</v>
      </c>
      <c r="BZ26" s="139">
        <v>1242</v>
      </c>
      <c r="CA26" s="139">
        <v>-782</v>
      </c>
      <c r="CB26" s="176"/>
      <c r="CC26" s="139">
        <v>51</v>
      </c>
      <c r="CD26" s="151">
        <v>-2058</v>
      </c>
      <c r="CE26" s="151">
        <v>-4239</v>
      </c>
      <c r="CF26" s="138">
        <v>32043</v>
      </c>
      <c r="CG26" s="139">
        <v>29550</v>
      </c>
      <c r="CH26" s="139">
        <v>961</v>
      </c>
      <c r="CI26" s="139">
        <v>1532</v>
      </c>
      <c r="CJ26" s="114">
        <v>19.25</v>
      </c>
      <c r="CK26" s="152"/>
      <c r="CL26" s="138">
        <v>266</v>
      </c>
      <c r="CM26" s="190">
        <v>9684</v>
      </c>
      <c r="CN26" s="146"/>
      <c r="CO26" s="150">
        <v>1.1785239361702127</v>
      </c>
      <c r="CP26" s="150">
        <v>55.25258267500441</v>
      </c>
      <c r="CQ26" s="151">
        <v>-2756.5055762081784</v>
      </c>
      <c r="CR26" s="152"/>
      <c r="CS26" s="152"/>
      <c r="CT26" s="152"/>
      <c r="CU26" s="150">
        <v>44.15730781398292</v>
      </c>
      <c r="CV26" s="151">
        <v>19.516728624535315</v>
      </c>
      <c r="CW26" s="151">
        <v>1.3255384970120863</v>
      </c>
      <c r="CX26" s="154">
        <v>5374.122263527468</v>
      </c>
      <c r="CY26" s="146">
        <v>20472</v>
      </c>
      <c r="CZ26" s="139">
        <v>5001</v>
      </c>
      <c r="DA26" s="139">
        <v>47664</v>
      </c>
      <c r="DB26" s="139">
        <v>-42663</v>
      </c>
      <c r="DC26" s="146">
        <v>35391</v>
      </c>
      <c r="DD26" s="146">
        <v>10621</v>
      </c>
      <c r="DE26" s="160"/>
      <c r="DG26" s="138">
        <v>-215</v>
      </c>
      <c r="DH26" s="138">
        <v>-6</v>
      </c>
      <c r="DI26" s="139">
        <v>3128</v>
      </c>
      <c r="DJ26" s="138">
        <v>1543</v>
      </c>
      <c r="DM26" s="139">
        <v>1585</v>
      </c>
      <c r="DQ26" s="138">
        <v>1585</v>
      </c>
      <c r="DR26" s="139">
        <v>2828</v>
      </c>
      <c r="DS26" s="139">
        <v>2799</v>
      </c>
      <c r="DT26" s="176"/>
      <c r="DU26" s="139">
        <v>-52</v>
      </c>
      <c r="DV26" s="151">
        <v>-2591</v>
      </c>
      <c r="DW26" s="138">
        <v>2025</v>
      </c>
      <c r="DX26" s="138">
        <v>35391</v>
      </c>
      <c r="DY26" s="146">
        <v>32727</v>
      </c>
      <c r="DZ26" s="196">
        <v>978</v>
      </c>
      <c r="EA26" s="146">
        <v>1686</v>
      </c>
      <c r="EB26" s="114">
        <v>20</v>
      </c>
      <c r="EC26" s="152"/>
      <c r="ED26" s="138">
        <v>127</v>
      </c>
      <c r="EE26" s="138">
        <v>21283</v>
      </c>
      <c r="EF26" s="138">
        <v>21703</v>
      </c>
      <c r="EG26" s="138">
        <v>21873</v>
      </c>
      <c r="EH26" s="138"/>
      <c r="EI26" s="138"/>
      <c r="EJ26" s="138"/>
      <c r="EK26" s="3">
        <v>-6723</v>
      </c>
      <c r="EL26" s="138">
        <v>150</v>
      </c>
      <c r="EM26" s="138">
        <v>187</v>
      </c>
      <c r="EN26" s="3">
        <v>-3892</v>
      </c>
      <c r="EO26" s="138"/>
      <c r="EP26" s="138">
        <v>435</v>
      </c>
      <c r="EQ26" s="3">
        <v>-1343</v>
      </c>
      <c r="ES26" s="138">
        <v>569</v>
      </c>
      <c r="ET26" s="163">
        <v>4000</v>
      </c>
      <c r="EU26" s="163">
        <v>-877</v>
      </c>
      <c r="EV26" s="138">
        <v>4000</v>
      </c>
      <c r="EW26" s="138">
        <v>1617</v>
      </c>
      <c r="EX26" s="138">
        <v>4000</v>
      </c>
      <c r="EY26" s="138">
        <v>-2384</v>
      </c>
      <c r="EZ26" s="138">
        <v>21077</v>
      </c>
      <c r="FA26" s="138">
        <v>15345</v>
      </c>
      <c r="FB26" s="138">
        <v>5732</v>
      </c>
      <c r="FC26" s="138">
        <v>4398</v>
      </c>
      <c r="FD26" s="138">
        <v>24635</v>
      </c>
      <c r="FE26" s="138">
        <v>16887</v>
      </c>
      <c r="FF26" s="138">
        <v>7748</v>
      </c>
      <c r="FG26" s="138">
        <v>4398</v>
      </c>
      <c r="FH26" s="138">
        <v>23659</v>
      </c>
      <c r="FI26" s="138">
        <v>18073</v>
      </c>
      <c r="FJ26" s="138">
        <v>5586</v>
      </c>
      <c r="FK26" s="138">
        <v>4398</v>
      </c>
      <c r="FL26" s="147">
        <v>3071</v>
      </c>
      <c r="FM26" s="147">
        <v>3437.2427983539096</v>
      </c>
      <c r="FO26" s="181">
        <f t="shared" si="0"/>
        <v>1636.35</v>
      </c>
      <c r="FP26" s="179">
        <f t="shared" si="1"/>
        <v>168.9745972738538</v>
      </c>
      <c r="FR26" s="184"/>
      <c r="FV26" s="184">
        <v>1420</v>
      </c>
      <c r="FW26" s="2">
        <f t="shared" si="2"/>
        <v>-1420</v>
      </c>
    </row>
    <row r="27" spans="1:179" ht="12.75">
      <c r="A27" s="82">
        <v>86</v>
      </c>
      <c r="B27" s="80" t="s">
        <v>25</v>
      </c>
      <c r="C27" s="191">
        <v>8807</v>
      </c>
      <c r="D27" s="146"/>
      <c r="E27" s="150">
        <v>0.6995037220843673</v>
      </c>
      <c r="F27" s="150">
        <v>56.8</v>
      </c>
      <c r="G27" s="151">
        <v>-2267</v>
      </c>
      <c r="H27" s="152"/>
      <c r="I27" s="152"/>
      <c r="J27" s="152"/>
      <c r="K27" s="150">
        <v>43.2</v>
      </c>
      <c r="L27" s="151">
        <v>582</v>
      </c>
      <c r="M27" s="151">
        <v>37</v>
      </c>
      <c r="N27" s="154">
        <v>5759.623027137504</v>
      </c>
      <c r="O27" s="146">
        <v>15451</v>
      </c>
      <c r="P27" s="139">
        <v>5438</v>
      </c>
      <c r="Q27" s="139">
        <v>43701</v>
      </c>
      <c r="R27" s="139">
        <v>-38263</v>
      </c>
      <c r="S27" s="146">
        <v>27789</v>
      </c>
      <c r="T27" s="139">
        <v>13198</v>
      </c>
      <c r="U27" s="160"/>
      <c r="W27" s="138">
        <v>-540</v>
      </c>
      <c r="X27" s="138">
        <v>70</v>
      </c>
      <c r="Y27" s="139">
        <v>2254</v>
      </c>
      <c r="Z27" s="138">
        <v>1613</v>
      </c>
      <c r="AC27" s="139">
        <v>641</v>
      </c>
      <c r="AG27" s="139">
        <v>641</v>
      </c>
      <c r="AH27" s="139">
        <v>5599</v>
      </c>
      <c r="AI27" s="139">
        <v>1832</v>
      </c>
      <c r="AJ27" s="176"/>
      <c r="AK27" s="139">
        <v>-19</v>
      </c>
      <c r="AL27" s="151">
        <v>-3465</v>
      </c>
      <c r="AM27" s="151">
        <v>-994</v>
      </c>
      <c r="AN27" s="146">
        <v>27789</v>
      </c>
      <c r="AO27" s="139">
        <v>25269</v>
      </c>
      <c r="AP27" s="139">
        <v>1363</v>
      </c>
      <c r="AQ27" s="139">
        <v>1157</v>
      </c>
      <c r="AR27" s="114">
        <v>20</v>
      </c>
      <c r="AS27" s="152"/>
      <c r="AT27" s="138">
        <v>161</v>
      </c>
      <c r="AU27" s="191">
        <v>8866</v>
      </c>
      <c r="AV27" s="146"/>
      <c r="AW27" s="150">
        <v>0.2868252516010979</v>
      </c>
      <c r="AX27" s="150">
        <v>57.6</v>
      </c>
      <c r="AY27" s="151">
        <v>-2745</v>
      </c>
      <c r="AZ27" s="152"/>
      <c r="BA27" s="152"/>
      <c r="BB27" s="152"/>
      <c r="BC27" s="150">
        <v>40.6</v>
      </c>
      <c r="BD27" s="151">
        <v>242</v>
      </c>
      <c r="BE27" s="151">
        <v>14</v>
      </c>
      <c r="BF27" s="154">
        <v>6319.760884277013</v>
      </c>
      <c r="BG27" s="146">
        <v>16318</v>
      </c>
      <c r="BH27" s="139">
        <v>5972</v>
      </c>
      <c r="BI27" s="139">
        <v>46327</v>
      </c>
      <c r="BJ27" s="139">
        <v>-40355</v>
      </c>
      <c r="BK27" s="146">
        <v>28008</v>
      </c>
      <c r="BL27" s="146">
        <v>13563</v>
      </c>
      <c r="BM27" s="160"/>
      <c r="BO27" s="138">
        <v>-551</v>
      </c>
      <c r="BP27" s="138">
        <v>24</v>
      </c>
      <c r="BQ27" s="139">
        <v>689</v>
      </c>
      <c r="BR27" s="138">
        <v>1924</v>
      </c>
      <c r="BU27" s="139">
        <v>-1235</v>
      </c>
      <c r="BY27" s="138">
        <v>-1235</v>
      </c>
      <c r="BZ27" s="139">
        <v>4231</v>
      </c>
      <c r="CA27" s="139">
        <v>470</v>
      </c>
      <c r="CB27" s="176"/>
      <c r="CC27" s="139">
        <v>384</v>
      </c>
      <c r="CD27" s="151">
        <v>-3807</v>
      </c>
      <c r="CE27" s="151">
        <v>-4401</v>
      </c>
      <c r="CF27" s="138">
        <v>28008</v>
      </c>
      <c r="CG27" s="139">
        <v>25812</v>
      </c>
      <c r="CH27" s="139">
        <v>1028</v>
      </c>
      <c r="CI27" s="139">
        <v>1168</v>
      </c>
      <c r="CJ27" s="114">
        <v>20</v>
      </c>
      <c r="CK27" s="152"/>
      <c r="CL27" s="138">
        <v>206</v>
      </c>
      <c r="CM27" s="190">
        <v>8808</v>
      </c>
      <c r="CN27" s="146"/>
      <c r="CO27" s="150">
        <v>0.4618908788004998</v>
      </c>
      <c r="CP27" s="150">
        <v>58.993593059811374</v>
      </c>
      <c r="CQ27" s="151">
        <v>-2989.3278837420526</v>
      </c>
      <c r="CR27" s="152"/>
      <c r="CS27" s="152"/>
      <c r="CT27" s="152"/>
      <c r="CU27" s="150">
        <v>38.19264361139348</v>
      </c>
      <c r="CV27" s="151">
        <v>258.06085376930065</v>
      </c>
      <c r="CW27" s="151">
        <v>14.587164835164835</v>
      </c>
      <c r="CX27" s="154">
        <v>6457.19800181653</v>
      </c>
      <c r="CY27" s="146">
        <v>16482</v>
      </c>
      <c r="CZ27" s="139">
        <v>6042</v>
      </c>
      <c r="DA27" s="139">
        <v>47914</v>
      </c>
      <c r="DB27" s="139">
        <v>-41872</v>
      </c>
      <c r="DC27" s="146">
        <v>30986</v>
      </c>
      <c r="DD27" s="146">
        <v>13240</v>
      </c>
      <c r="DE27" s="160"/>
      <c r="DG27" s="138">
        <v>-343</v>
      </c>
      <c r="DH27" s="138">
        <v>-145</v>
      </c>
      <c r="DI27" s="139">
        <v>1866</v>
      </c>
      <c r="DJ27" s="138">
        <v>2211</v>
      </c>
      <c r="DM27" s="139">
        <v>-345</v>
      </c>
      <c r="DQ27" s="138">
        <v>-345</v>
      </c>
      <c r="DR27" s="139">
        <v>3886</v>
      </c>
      <c r="DS27" s="139">
        <v>1841</v>
      </c>
      <c r="DT27" s="176"/>
      <c r="DU27" s="139">
        <v>-186</v>
      </c>
      <c r="DV27" s="151">
        <v>-4450</v>
      </c>
      <c r="DW27" s="138">
        <v>-2046</v>
      </c>
      <c r="DX27" s="138">
        <v>30986</v>
      </c>
      <c r="DY27" s="146">
        <v>28574</v>
      </c>
      <c r="DZ27" s="196">
        <v>1104</v>
      </c>
      <c r="EA27" s="146">
        <v>1308</v>
      </c>
      <c r="EB27" s="114">
        <v>20.5</v>
      </c>
      <c r="EC27" s="152"/>
      <c r="ED27" s="138">
        <v>191</v>
      </c>
      <c r="EE27" s="138">
        <v>22109</v>
      </c>
      <c r="EF27" s="138">
        <v>23587</v>
      </c>
      <c r="EG27" s="138">
        <v>25079</v>
      </c>
      <c r="EH27" s="138"/>
      <c r="EI27" s="138"/>
      <c r="EJ27" s="138"/>
      <c r="EK27" s="3">
        <v>-3027</v>
      </c>
      <c r="EL27" s="138"/>
      <c r="EM27" s="138">
        <v>201</v>
      </c>
      <c r="EN27" s="3">
        <v>-5368</v>
      </c>
      <c r="EO27" s="138"/>
      <c r="EP27" s="138">
        <v>497</v>
      </c>
      <c r="EQ27" s="3">
        <v>-4019</v>
      </c>
      <c r="ER27" s="138">
        <v>91</v>
      </c>
      <c r="ES27" s="138">
        <v>42</v>
      </c>
      <c r="ET27" s="163">
        <v>5500</v>
      </c>
      <c r="EU27" s="163"/>
      <c r="EV27" s="138">
        <v>3500</v>
      </c>
      <c r="EW27" s="138">
        <v>1000</v>
      </c>
      <c r="EX27" s="138">
        <v>6600</v>
      </c>
      <c r="EY27" s="138">
        <v>500</v>
      </c>
      <c r="EZ27" s="138">
        <v>22645</v>
      </c>
      <c r="FA27" s="138">
        <v>18837</v>
      </c>
      <c r="FB27" s="138">
        <v>3808</v>
      </c>
      <c r="FC27" s="138">
        <v>205</v>
      </c>
      <c r="FD27" s="138">
        <v>23337</v>
      </c>
      <c r="FE27" s="138">
        <v>18211</v>
      </c>
      <c r="FF27" s="138">
        <v>5126</v>
      </c>
      <c r="FG27" s="138">
        <v>190</v>
      </c>
      <c r="FH27" s="138">
        <v>25987</v>
      </c>
      <c r="FI27" s="138">
        <v>19772</v>
      </c>
      <c r="FJ27" s="138">
        <v>6215</v>
      </c>
      <c r="FK27" s="138">
        <v>177</v>
      </c>
      <c r="FL27" s="147">
        <v>2885</v>
      </c>
      <c r="FM27" s="147">
        <v>3001.353485224453</v>
      </c>
      <c r="FO27" s="181">
        <f t="shared" si="0"/>
        <v>1393.8536585365853</v>
      </c>
      <c r="FP27" s="179">
        <f t="shared" si="1"/>
        <v>158.24859883476216</v>
      </c>
      <c r="FR27" s="184"/>
      <c r="FV27" s="184">
        <v>3465</v>
      </c>
      <c r="FW27" s="2">
        <f t="shared" si="2"/>
        <v>-3465</v>
      </c>
    </row>
    <row r="28" spans="1:179" ht="12.75">
      <c r="A28" s="82">
        <v>111</v>
      </c>
      <c r="B28" s="80" t="s">
        <v>38</v>
      </c>
      <c r="C28" s="191">
        <v>20164</v>
      </c>
      <c r="D28" s="146"/>
      <c r="E28" s="150">
        <v>1.0556702966579046</v>
      </c>
      <c r="F28" s="150">
        <v>51.7</v>
      </c>
      <c r="G28" s="151">
        <v>349</v>
      </c>
      <c r="H28" s="152"/>
      <c r="I28" s="152"/>
      <c r="J28" s="152"/>
      <c r="K28" s="150">
        <v>64.4</v>
      </c>
      <c r="L28" s="151">
        <v>3063</v>
      </c>
      <c r="M28" s="151">
        <v>174</v>
      </c>
      <c r="N28" s="154">
        <v>9958.192818885142</v>
      </c>
      <c r="O28" s="146">
        <v>53785</v>
      </c>
      <c r="P28" s="139">
        <v>19675</v>
      </c>
      <c r="Q28" s="139">
        <v>112985</v>
      </c>
      <c r="R28" s="139">
        <v>-93310</v>
      </c>
      <c r="S28" s="146">
        <v>69128</v>
      </c>
      <c r="T28" s="139">
        <v>32633</v>
      </c>
      <c r="U28" s="160"/>
      <c r="W28" s="138">
        <v>-1141</v>
      </c>
      <c r="X28" s="138">
        <v>-455</v>
      </c>
      <c r="Y28" s="139">
        <v>6855</v>
      </c>
      <c r="Z28" s="138">
        <v>5405</v>
      </c>
      <c r="AC28" s="139">
        <v>1450</v>
      </c>
      <c r="AD28" s="139">
        <v>-84</v>
      </c>
      <c r="AE28" s="139">
        <v>372</v>
      </c>
      <c r="AG28" s="139">
        <v>1738</v>
      </c>
      <c r="AH28" s="139">
        <v>9950</v>
      </c>
      <c r="AI28" s="139">
        <v>6377</v>
      </c>
      <c r="AJ28" s="176"/>
      <c r="AK28" s="139">
        <v>478</v>
      </c>
      <c r="AL28" s="151">
        <v>-6262</v>
      </c>
      <c r="AM28" s="151">
        <v>2692</v>
      </c>
      <c r="AN28" s="146">
        <v>69128</v>
      </c>
      <c r="AO28" s="139">
        <v>60062</v>
      </c>
      <c r="AP28" s="139">
        <v>3799</v>
      </c>
      <c r="AQ28" s="139">
        <v>5267</v>
      </c>
      <c r="AR28" s="114">
        <v>20.5</v>
      </c>
      <c r="AS28" s="152"/>
      <c r="AT28" s="138">
        <v>105</v>
      </c>
      <c r="AU28" s="191">
        <v>20051</v>
      </c>
      <c r="AV28" s="146"/>
      <c r="AW28" s="150">
        <v>0.9819101640349532</v>
      </c>
      <c r="AX28" s="150">
        <v>49.7</v>
      </c>
      <c r="AY28" s="151">
        <v>453</v>
      </c>
      <c r="AZ28" s="152"/>
      <c r="BA28" s="152"/>
      <c r="BB28" s="152"/>
      <c r="BC28" s="150">
        <v>64.6</v>
      </c>
      <c r="BD28" s="151">
        <v>3201</v>
      </c>
      <c r="BE28" s="151">
        <v>169</v>
      </c>
      <c r="BF28" s="154">
        <v>6918.956660515685</v>
      </c>
      <c r="BG28" s="146">
        <v>57353</v>
      </c>
      <c r="BH28" s="139">
        <v>22613</v>
      </c>
      <c r="BI28" s="139">
        <v>121454</v>
      </c>
      <c r="BJ28" s="139">
        <v>-98841</v>
      </c>
      <c r="BK28" s="146">
        <v>67998</v>
      </c>
      <c r="BL28" s="146">
        <v>34860</v>
      </c>
      <c r="BM28" s="160"/>
      <c r="BO28" s="138">
        <v>-1059</v>
      </c>
      <c r="BP28" s="138">
        <v>2147</v>
      </c>
      <c r="BQ28" s="139">
        <v>5105</v>
      </c>
      <c r="BR28" s="138">
        <v>4867</v>
      </c>
      <c r="BU28" s="139">
        <v>238</v>
      </c>
      <c r="BV28" s="139">
        <v>255</v>
      </c>
      <c r="BW28" s="139">
        <v>28</v>
      </c>
      <c r="BY28" s="138">
        <v>521</v>
      </c>
      <c r="BZ28" s="139">
        <v>10471</v>
      </c>
      <c r="CA28" s="139">
        <v>4194</v>
      </c>
      <c r="CB28" s="176"/>
      <c r="CC28" s="139">
        <v>1430</v>
      </c>
      <c r="CD28" s="151">
        <v>-5223</v>
      </c>
      <c r="CE28" s="151">
        <v>2067</v>
      </c>
      <c r="CF28" s="138">
        <v>67998</v>
      </c>
      <c r="CG28" s="139">
        <v>60099</v>
      </c>
      <c r="CH28" s="139">
        <v>2631</v>
      </c>
      <c r="CI28" s="139">
        <v>5268</v>
      </c>
      <c r="CJ28" s="114">
        <v>20.5</v>
      </c>
      <c r="CK28" s="152"/>
      <c r="CL28" s="138">
        <v>84</v>
      </c>
      <c r="CM28" s="190">
        <v>19979</v>
      </c>
      <c r="CN28" s="146"/>
      <c r="CO28" s="150">
        <v>1.5424284235943428</v>
      </c>
      <c r="CP28" s="150">
        <v>50.79919650463886</v>
      </c>
      <c r="CQ28" s="151">
        <v>477.95184944191396</v>
      </c>
      <c r="CR28" s="152"/>
      <c r="CS28" s="152"/>
      <c r="CT28" s="152"/>
      <c r="CU28" s="150">
        <v>64.07704448094825</v>
      </c>
      <c r="CV28" s="151">
        <v>3362.180289303769</v>
      </c>
      <c r="CW28" s="151">
        <v>178.86794724017685</v>
      </c>
      <c r="CX28" s="154">
        <v>6860.903949146604</v>
      </c>
      <c r="CY28" s="146">
        <v>57767</v>
      </c>
      <c r="CZ28" s="139">
        <v>20080</v>
      </c>
      <c r="DA28" s="139">
        <v>122141</v>
      </c>
      <c r="DB28" s="139">
        <v>-102061</v>
      </c>
      <c r="DC28" s="146">
        <v>70867</v>
      </c>
      <c r="DD28" s="146">
        <v>37426</v>
      </c>
      <c r="DE28" s="160"/>
      <c r="DG28" s="138">
        <v>-1024</v>
      </c>
      <c r="DH28" s="138">
        <v>2554</v>
      </c>
      <c r="DI28" s="139">
        <v>7762</v>
      </c>
      <c r="DJ28" s="138">
        <v>5257</v>
      </c>
      <c r="DM28" s="139">
        <v>2505</v>
      </c>
      <c r="DN28" s="139">
        <v>280</v>
      </c>
      <c r="DO28" s="139"/>
      <c r="DQ28" s="138">
        <v>2785</v>
      </c>
      <c r="DR28" s="139">
        <v>13256</v>
      </c>
      <c r="DS28" s="139">
        <v>7337</v>
      </c>
      <c r="DT28" s="176"/>
      <c r="DU28" s="139">
        <v>-356</v>
      </c>
      <c r="DV28" s="151">
        <v>-4617</v>
      </c>
      <c r="DW28" s="138">
        <v>231</v>
      </c>
      <c r="DX28" s="138">
        <v>70867</v>
      </c>
      <c r="DY28" s="146">
        <v>61658</v>
      </c>
      <c r="DZ28" s="196">
        <v>3421</v>
      </c>
      <c r="EA28" s="146">
        <v>5788</v>
      </c>
      <c r="EB28" s="114">
        <v>20.5</v>
      </c>
      <c r="EC28" s="152"/>
      <c r="ED28" s="138">
        <v>94</v>
      </c>
      <c r="EE28" s="138">
        <v>44503</v>
      </c>
      <c r="EF28" s="138">
        <v>47168</v>
      </c>
      <c r="EG28" s="138">
        <v>47909</v>
      </c>
      <c r="EH28" s="138"/>
      <c r="EI28" s="138"/>
      <c r="EJ28" s="138"/>
      <c r="EK28" s="3">
        <v>-5175</v>
      </c>
      <c r="EL28" s="138">
        <v>473</v>
      </c>
      <c r="EM28" s="138">
        <v>1017</v>
      </c>
      <c r="EN28" s="3">
        <v>-8827</v>
      </c>
      <c r="EO28" s="138">
        <v>282</v>
      </c>
      <c r="EP28" s="138">
        <v>6418</v>
      </c>
      <c r="EQ28" s="3">
        <v>-8581</v>
      </c>
      <c r="ER28" s="138">
        <v>665</v>
      </c>
      <c r="ES28" s="138">
        <v>810</v>
      </c>
      <c r="ET28" s="163">
        <v>5500</v>
      </c>
      <c r="EU28" s="163">
        <v>-5000</v>
      </c>
      <c r="EV28" s="138"/>
      <c r="EW28" s="138">
        <v>2500</v>
      </c>
      <c r="EX28" s="138">
        <v>9200</v>
      </c>
      <c r="EY28" s="138">
        <v>-1500</v>
      </c>
      <c r="EZ28" s="138">
        <v>47680</v>
      </c>
      <c r="FA28" s="138">
        <v>39457</v>
      </c>
      <c r="FB28" s="138">
        <v>8223</v>
      </c>
      <c r="FC28" s="138">
        <v>1074</v>
      </c>
      <c r="FD28" s="138">
        <v>44702</v>
      </c>
      <c r="FE28" s="138">
        <v>34585</v>
      </c>
      <c r="FF28" s="138">
        <v>10117</v>
      </c>
      <c r="FG28" s="138">
        <v>2324</v>
      </c>
      <c r="FH28" s="138">
        <v>47785</v>
      </c>
      <c r="FI28" s="138">
        <v>32998</v>
      </c>
      <c r="FJ28" s="138">
        <v>14787</v>
      </c>
      <c r="FK28" s="138">
        <v>2374</v>
      </c>
      <c r="FL28" s="147">
        <v>3238</v>
      </c>
      <c r="FM28" s="147">
        <v>3130.267817066481</v>
      </c>
      <c r="FO28" s="181">
        <f t="shared" si="0"/>
        <v>3007.7073170731705</v>
      </c>
      <c r="FP28" s="179">
        <f t="shared" si="1"/>
        <v>150.54343646194357</v>
      </c>
      <c r="FR28" s="184"/>
      <c r="FV28" s="184">
        <v>6262</v>
      </c>
      <c r="FW28" s="2">
        <f t="shared" si="2"/>
        <v>-6262</v>
      </c>
    </row>
    <row r="29" spans="1:179" ht="12.75">
      <c r="A29" s="82">
        <v>90</v>
      </c>
      <c r="B29" s="80" t="s">
        <v>26</v>
      </c>
      <c r="C29" s="191">
        <v>3827</v>
      </c>
      <c r="D29" s="146"/>
      <c r="E29" s="150">
        <v>1.3540081919251024</v>
      </c>
      <c r="F29" s="150">
        <v>41.1</v>
      </c>
      <c r="G29" s="151">
        <v>-2132</v>
      </c>
      <c r="H29" s="152"/>
      <c r="I29" s="152"/>
      <c r="J29" s="152"/>
      <c r="K29" s="150">
        <v>56.3</v>
      </c>
      <c r="L29" s="151">
        <v>415</v>
      </c>
      <c r="M29" s="151">
        <v>17</v>
      </c>
      <c r="N29" s="154">
        <v>10080.219493075516</v>
      </c>
      <c r="O29" s="146">
        <v>12332</v>
      </c>
      <c r="P29" s="139">
        <v>4869</v>
      </c>
      <c r="Q29" s="139">
        <v>27062</v>
      </c>
      <c r="R29" s="139">
        <v>-22193</v>
      </c>
      <c r="S29" s="146">
        <v>10933</v>
      </c>
      <c r="T29" s="139">
        <v>11850</v>
      </c>
      <c r="U29" s="160"/>
      <c r="W29" s="138">
        <v>-20</v>
      </c>
      <c r="X29" s="138">
        <v>260</v>
      </c>
      <c r="Y29" s="139">
        <v>830</v>
      </c>
      <c r="Z29" s="138">
        <v>971</v>
      </c>
      <c r="AC29" s="139">
        <v>-141</v>
      </c>
      <c r="AD29" s="139">
        <v>88</v>
      </c>
      <c r="AG29" s="139">
        <v>-53</v>
      </c>
      <c r="AH29" s="139">
        <v>3684</v>
      </c>
      <c r="AI29" s="139">
        <v>538</v>
      </c>
      <c r="AJ29" s="176"/>
      <c r="AK29" s="139">
        <v>-348</v>
      </c>
      <c r="AL29" s="151">
        <v>-225</v>
      </c>
      <c r="AM29" s="151">
        <v>-3944</v>
      </c>
      <c r="AN29" s="146">
        <v>10933</v>
      </c>
      <c r="AO29" s="139">
        <v>8150</v>
      </c>
      <c r="AP29" s="139">
        <v>2088</v>
      </c>
      <c r="AQ29" s="139">
        <v>695</v>
      </c>
      <c r="AR29" s="114">
        <v>20.5</v>
      </c>
      <c r="AS29" s="152"/>
      <c r="AT29" s="138">
        <v>190</v>
      </c>
      <c r="AU29" s="191">
        <v>3742</v>
      </c>
      <c r="AV29" s="146"/>
      <c r="AW29" s="150">
        <v>-0.3216374269005848</v>
      </c>
      <c r="AX29" s="150">
        <v>54.9</v>
      </c>
      <c r="AY29" s="151">
        <v>-3148</v>
      </c>
      <c r="AZ29" s="152"/>
      <c r="BA29" s="152"/>
      <c r="BB29" s="152"/>
      <c r="BC29" s="150">
        <v>46.6</v>
      </c>
      <c r="BD29" s="151">
        <v>651</v>
      </c>
      <c r="BE29" s="151">
        <v>27</v>
      </c>
      <c r="BF29" s="154">
        <v>8735.168359166222</v>
      </c>
      <c r="BG29" s="146">
        <v>12927</v>
      </c>
      <c r="BH29" s="139">
        <v>5343</v>
      </c>
      <c r="BI29" s="139">
        <v>28562</v>
      </c>
      <c r="BJ29" s="139">
        <v>-23219</v>
      </c>
      <c r="BK29" s="146">
        <v>10615</v>
      </c>
      <c r="BL29" s="146">
        <v>12137</v>
      </c>
      <c r="BM29" s="160"/>
      <c r="BO29" s="138">
        <v>-31</v>
      </c>
      <c r="BP29" s="138">
        <v>295</v>
      </c>
      <c r="BQ29" s="139">
        <v>-203</v>
      </c>
      <c r="BR29" s="138">
        <v>1267</v>
      </c>
      <c r="BU29" s="139">
        <v>-1470</v>
      </c>
      <c r="BV29" s="139">
        <v>99</v>
      </c>
      <c r="BY29" s="138">
        <v>-1371</v>
      </c>
      <c r="BZ29" s="139">
        <v>2314</v>
      </c>
      <c r="CA29" s="139">
        <v>-421</v>
      </c>
      <c r="CB29" s="176"/>
      <c r="CC29" s="139">
        <v>445</v>
      </c>
      <c r="CD29" s="151">
        <v>-249</v>
      </c>
      <c r="CE29" s="151">
        <v>-3052</v>
      </c>
      <c r="CF29" s="138">
        <v>10615</v>
      </c>
      <c r="CG29" s="139">
        <v>8639</v>
      </c>
      <c r="CH29" s="139">
        <v>1263</v>
      </c>
      <c r="CI29" s="139">
        <v>713</v>
      </c>
      <c r="CJ29" s="114">
        <v>20.5</v>
      </c>
      <c r="CK29" s="152"/>
      <c r="CL29" s="138">
        <v>270</v>
      </c>
      <c r="CM29" s="190">
        <v>3667</v>
      </c>
      <c r="CN29" s="146"/>
      <c r="CO29" s="150">
        <v>1.526510480887793</v>
      </c>
      <c r="CP29" s="150">
        <v>65.28831562974203</v>
      </c>
      <c r="CQ29" s="151">
        <v>-3903.190619034633</v>
      </c>
      <c r="CR29" s="152"/>
      <c r="CS29" s="152"/>
      <c r="CT29" s="152"/>
      <c r="CU29" s="150">
        <v>41.68634574629125</v>
      </c>
      <c r="CV29" s="151">
        <v>932.9151895282247</v>
      </c>
      <c r="CW29" s="151">
        <v>37.58096069343285</v>
      </c>
      <c r="CX29" s="154">
        <v>9060.812653395147</v>
      </c>
      <c r="CY29" s="146">
        <v>12819</v>
      </c>
      <c r="CZ29" s="139">
        <v>4975</v>
      </c>
      <c r="DA29" s="139">
        <v>28084</v>
      </c>
      <c r="DB29" s="139">
        <v>-23109</v>
      </c>
      <c r="DC29" s="146">
        <v>11296</v>
      </c>
      <c r="DD29" s="146">
        <v>12725</v>
      </c>
      <c r="DE29" s="160"/>
      <c r="DG29" s="138">
        <v>-19</v>
      </c>
      <c r="DH29" s="138">
        <v>229</v>
      </c>
      <c r="DI29" s="139">
        <v>1122</v>
      </c>
      <c r="DJ29" s="138">
        <v>1392</v>
      </c>
      <c r="DK29" s="138">
        <v>272</v>
      </c>
      <c r="DM29" s="139">
        <v>2</v>
      </c>
      <c r="DN29" s="139">
        <v>-1402</v>
      </c>
      <c r="DO29" s="138">
        <v>1500</v>
      </c>
      <c r="DQ29" s="138">
        <v>100</v>
      </c>
      <c r="DR29" s="139">
        <v>2414</v>
      </c>
      <c r="DS29" s="139">
        <v>1390</v>
      </c>
      <c r="DT29" s="176"/>
      <c r="DU29" s="139">
        <v>-1</v>
      </c>
      <c r="DV29" s="151">
        <v>-695</v>
      </c>
      <c r="DW29" s="138">
        <v>-2566</v>
      </c>
      <c r="DX29" s="138">
        <v>11296</v>
      </c>
      <c r="DY29" s="146">
        <v>8669</v>
      </c>
      <c r="DZ29" s="196">
        <v>1567</v>
      </c>
      <c r="EA29" s="146">
        <v>1060</v>
      </c>
      <c r="EB29" s="114">
        <v>20.75</v>
      </c>
      <c r="EC29" s="152"/>
      <c r="ED29" s="138">
        <v>137</v>
      </c>
      <c r="EE29" s="138">
        <v>11254</v>
      </c>
      <c r="EF29" s="138">
        <v>12206</v>
      </c>
      <c r="EG29" s="138">
        <v>11863</v>
      </c>
      <c r="EH29" s="138"/>
      <c r="EI29" s="138"/>
      <c r="EJ29" s="138"/>
      <c r="EK29" s="3">
        <v>-6780</v>
      </c>
      <c r="EL29" s="138">
        <v>1966</v>
      </c>
      <c r="EM29" s="138">
        <v>332</v>
      </c>
      <c r="EN29" s="3">
        <v>-3780</v>
      </c>
      <c r="EO29" s="138">
        <v>855</v>
      </c>
      <c r="EP29" s="138">
        <v>294</v>
      </c>
      <c r="EQ29" s="3">
        <v>-4310</v>
      </c>
      <c r="ER29" s="138">
        <v>122</v>
      </c>
      <c r="ES29" s="138">
        <v>232</v>
      </c>
      <c r="ET29" s="163"/>
      <c r="EU29" s="163">
        <v>4496</v>
      </c>
      <c r="EV29" s="138">
        <v>3830</v>
      </c>
      <c r="EW29" s="138">
        <v>505</v>
      </c>
      <c r="EX29" s="138">
        <v>203</v>
      </c>
      <c r="EY29" s="138">
        <v>3999</v>
      </c>
      <c r="EZ29" s="138">
        <v>7440</v>
      </c>
      <c r="FA29" s="138">
        <v>222</v>
      </c>
      <c r="FB29" s="138">
        <v>7218</v>
      </c>
      <c r="FC29" s="138">
        <v>595</v>
      </c>
      <c r="FD29" s="138">
        <v>11976</v>
      </c>
      <c r="FE29" s="138">
        <v>4004</v>
      </c>
      <c r="FF29" s="138">
        <v>7972</v>
      </c>
      <c r="FG29" s="138">
        <v>95</v>
      </c>
      <c r="FH29" s="138">
        <v>15482</v>
      </c>
      <c r="FI29" s="138">
        <v>3507</v>
      </c>
      <c r="FJ29" s="138">
        <v>11975</v>
      </c>
      <c r="FK29" s="138">
        <v>95</v>
      </c>
      <c r="FL29" s="147">
        <v>3390</v>
      </c>
      <c r="FM29" s="147">
        <v>4490.379476215927</v>
      </c>
      <c r="FO29" s="181">
        <f t="shared" si="0"/>
        <v>417.7831325301205</v>
      </c>
      <c r="FP29" s="179">
        <f t="shared" si="1"/>
        <v>113.93049700848664</v>
      </c>
      <c r="FR29" s="184"/>
      <c r="FV29" s="184">
        <v>225</v>
      </c>
      <c r="FW29" s="2">
        <f t="shared" si="2"/>
        <v>-225</v>
      </c>
    </row>
    <row r="30" spans="1:179" ht="12.75">
      <c r="A30" s="82">
        <v>91</v>
      </c>
      <c r="B30" s="80" t="s">
        <v>27</v>
      </c>
      <c r="C30" s="191">
        <v>595384</v>
      </c>
      <c r="D30" s="146"/>
      <c r="E30" s="150">
        <v>4.923439562511786</v>
      </c>
      <c r="F30" s="150">
        <v>42.3</v>
      </c>
      <c r="G30" s="151">
        <v>-1495</v>
      </c>
      <c r="H30" s="152"/>
      <c r="I30" s="152"/>
      <c r="J30" s="152"/>
      <c r="K30" s="150">
        <v>75.9</v>
      </c>
      <c r="L30" s="151">
        <v>1361</v>
      </c>
      <c r="M30" s="151">
        <v>58</v>
      </c>
      <c r="N30" s="154">
        <v>7090.257716028647</v>
      </c>
      <c r="O30" s="146">
        <v>1800214</v>
      </c>
      <c r="P30" s="139">
        <v>1852258</v>
      </c>
      <c r="Q30" s="139">
        <v>4346466</v>
      </c>
      <c r="R30" s="139">
        <v>-2494208</v>
      </c>
      <c r="S30" s="146">
        <v>2739985</v>
      </c>
      <c r="T30" s="139">
        <v>259795</v>
      </c>
      <c r="U30" s="160"/>
      <c r="W30" s="138">
        <v>48309</v>
      </c>
      <c r="X30" s="138">
        <v>20442</v>
      </c>
      <c r="Y30" s="139">
        <v>574323</v>
      </c>
      <c r="Z30" s="138">
        <v>361812</v>
      </c>
      <c r="AA30" s="139">
        <v>42492</v>
      </c>
      <c r="AB30" s="139">
        <v>38</v>
      </c>
      <c r="AC30" s="139">
        <v>254965</v>
      </c>
      <c r="AD30" s="139">
        <v>16791</v>
      </c>
      <c r="AE30" s="139">
        <v>-6989</v>
      </c>
      <c r="AF30" s="139">
        <v>15469</v>
      </c>
      <c r="AG30" s="139">
        <v>280236</v>
      </c>
      <c r="AH30" s="139">
        <v>2595234</v>
      </c>
      <c r="AI30" s="139">
        <v>543259</v>
      </c>
      <c r="AJ30" s="176"/>
      <c r="AK30" s="139">
        <v>20068</v>
      </c>
      <c r="AL30" s="151">
        <v>-116591</v>
      </c>
      <c r="AM30" s="151">
        <v>-79863</v>
      </c>
      <c r="AN30" s="146">
        <v>2739985</v>
      </c>
      <c r="AO30" s="139">
        <v>2218061</v>
      </c>
      <c r="AP30" s="139">
        <v>334903</v>
      </c>
      <c r="AQ30" s="139">
        <v>186509</v>
      </c>
      <c r="AR30" s="114">
        <v>18.5</v>
      </c>
      <c r="AS30" s="152"/>
      <c r="AT30" s="138">
        <v>6</v>
      </c>
      <c r="AU30" s="191">
        <v>603968</v>
      </c>
      <c r="AV30" s="146"/>
      <c r="AW30" s="150">
        <v>2.9457060702875397</v>
      </c>
      <c r="AX30" s="150">
        <v>40.5</v>
      </c>
      <c r="AY30" s="151">
        <v>-1565</v>
      </c>
      <c r="AZ30" s="152"/>
      <c r="BA30" s="152"/>
      <c r="BB30" s="152"/>
      <c r="BC30" s="150">
        <v>76.3</v>
      </c>
      <c r="BD30" s="151">
        <v>1105</v>
      </c>
      <c r="BE30" s="151">
        <v>46</v>
      </c>
      <c r="BF30" s="154">
        <v>8754.048227720674</v>
      </c>
      <c r="BG30" s="146">
        <v>1893934</v>
      </c>
      <c r="BH30" s="139">
        <v>1878884</v>
      </c>
      <c r="BI30" s="139">
        <v>4564027</v>
      </c>
      <c r="BJ30" s="139">
        <v>-2685143</v>
      </c>
      <c r="BK30" s="146">
        <v>2758538</v>
      </c>
      <c r="BL30" s="146">
        <v>297258</v>
      </c>
      <c r="BM30" s="160"/>
      <c r="BO30" s="138">
        <v>38137</v>
      </c>
      <c r="BP30" s="138">
        <v>29854</v>
      </c>
      <c r="BQ30" s="139">
        <v>439136</v>
      </c>
      <c r="BR30" s="138">
        <v>396529</v>
      </c>
      <c r="BS30" s="139">
        <v>104195</v>
      </c>
      <c r="BT30" s="139">
        <v>1816</v>
      </c>
      <c r="BU30" s="139">
        <v>144986</v>
      </c>
      <c r="BV30" s="139">
        <v>8866</v>
      </c>
      <c r="BW30" s="139">
        <v>3662</v>
      </c>
      <c r="BX30" s="139">
        <v>-18653</v>
      </c>
      <c r="BY30" s="138">
        <v>138861</v>
      </c>
      <c r="BZ30" s="139">
        <v>2724095</v>
      </c>
      <c r="CA30" s="139">
        <v>422223</v>
      </c>
      <c r="CB30" s="176"/>
      <c r="CC30" s="139">
        <v>-44863</v>
      </c>
      <c r="CD30" s="151">
        <v>-134633</v>
      </c>
      <c r="CE30" s="151">
        <v>-96861</v>
      </c>
      <c r="CF30" s="138">
        <v>2758538</v>
      </c>
      <c r="CG30" s="139">
        <v>2306394</v>
      </c>
      <c r="CH30" s="139">
        <v>263398</v>
      </c>
      <c r="CI30" s="139">
        <v>188746</v>
      </c>
      <c r="CJ30" s="114">
        <v>18.5</v>
      </c>
      <c r="CK30" s="152"/>
      <c r="CL30" s="138">
        <v>7</v>
      </c>
      <c r="CM30" s="190">
        <v>612664</v>
      </c>
      <c r="CN30" s="146"/>
      <c r="CO30" s="150">
        <v>3.8002320619247123</v>
      </c>
      <c r="CP30" s="150">
        <v>44.39381277653974</v>
      </c>
      <c r="CQ30" s="151">
        <v>-1567.067756551715</v>
      </c>
      <c r="CR30" s="152"/>
      <c r="CS30" s="152"/>
      <c r="CT30" s="152"/>
      <c r="CU30" s="150">
        <v>76.17615815093431</v>
      </c>
      <c r="CV30" s="151">
        <v>1503.6806471410105</v>
      </c>
      <c r="CW30" s="151">
        <v>62.93107923788734</v>
      </c>
      <c r="CX30" s="154">
        <v>8721.341550996956</v>
      </c>
      <c r="CY30" s="146">
        <v>1921072</v>
      </c>
      <c r="CZ30" s="139">
        <v>1901173</v>
      </c>
      <c r="DA30" s="139">
        <v>4673472</v>
      </c>
      <c r="DB30" s="139">
        <v>-2772299</v>
      </c>
      <c r="DC30" s="146">
        <v>2906349</v>
      </c>
      <c r="DD30" s="146">
        <v>275737</v>
      </c>
      <c r="DE30" s="160"/>
      <c r="DG30" s="138">
        <v>36806</v>
      </c>
      <c r="DH30" s="138">
        <v>26082</v>
      </c>
      <c r="DI30" s="139">
        <v>472675</v>
      </c>
      <c r="DJ30" s="138">
        <v>403088</v>
      </c>
      <c r="DK30" s="139">
        <v>77912</v>
      </c>
      <c r="DL30" s="139">
        <v>436</v>
      </c>
      <c r="DM30" s="139">
        <v>147063</v>
      </c>
      <c r="DN30" s="139">
        <v>11336</v>
      </c>
      <c r="DO30" s="139">
        <v>-5293</v>
      </c>
      <c r="DP30" s="139">
        <v>5928</v>
      </c>
      <c r="DQ30" s="138">
        <v>159034</v>
      </c>
      <c r="DR30" s="139">
        <v>2907440</v>
      </c>
      <c r="DS30" s="139">
        <v>451976</v>
      </c>
      <c r="DT30" s="176"/>
      <c r="DU30" s="139">
        <v>11005</v>
      </c>
      <c r="DV30" s="151">
        <v>-113086</v>
      </c>
      <c r="DW30" s="138">
        <v>-75122</v>
      </c>
      <c r="DX30" s="138">
        <v>2906349</v>
      </c>
      <c r="DY30" s="146">
        <v>2442087</v>
      </c>
      <c r="DZ30" s="196">
        <v>268546</v>
      </c>
      <c r="EA30" s="146">
        <v>195275</v>
      </c>
      <c r="EB30" s="114">
        <v>18.5</v>
      </c>
      <c r="EC30" s="152"/>
      <c r="ED30" s="138">
        <v>14</v>
      </c>
      <c r="EE30" s="138">
        <v>1508698</v>
      </c>
      <c r="EF30" s="138">
        <v>1547149</v>
      </c>
      <c r="EG30" s="138">
        <v>1601481</v>
      </c>
      <c r="EH30" s="138"/>
      <c r="EI30" s="138"/>
      <c r="EJ30" s="138"/>
      <c r="EK30" s="3">
        <v>-682835</v>
      </c>
      <c r="EL30" s="138">
        <v>8160</v>
      </c>
      <c r="EM30" s="138">
        <v>51553</v>
      </c>
      <c r="EN30" s="3">
        <v>-649605</v>
      </c>
      <c r="EO30" s="138">
        <v>4999</v>
      </c>
      <c r="EP30" s="138">
        <v>125522</v>
      </c>
      <c r="EQ30" s="3">
        <v>-647268</v>
      </c>
      <c r="ER30" s="138">
        <v>13196</v>
      </c>
      <c r="ES30" s="138">
        <v>106974</v>
      </c>
      <c r="ET30" s="163">
        <v>231653</v>
      </c>
      <c r="EU30" s="163"/>
      <c r="EV30" s="138">
        <v>57438</v>
      </c>
      <c r="EW30" s="138"/>
      <c r="EX30" s="138">
        <v>403000</v>
      </c>
      <c r="EY30" s="138"/>
      <c r="EZ30" s="138">
        <v>1285848</v>
      </c>
      <c r="FA30" s="138">
        <v>1151215</v>
      </c>
      <c r="FB30" s="138">
        <v>134633</v>
      </c>
      <c r="FC30" s="138">
        <v>1633364</v>
      </c>
      <c r="FD30" s="138">
        <v>1208652</v>
      </c>
      <c r="FE30" s="138">
        <v>1095566</v>
      </c>
      <c r="FF30" s="138">
        <v>113086</v>
      </c>
      <c r="FG30" s="138">
        <v>1570701</v>
      </c>
      <c r="FH30" s="138">
        <v>1498566</v>
      </c>
      <c r="FI30" s="138">
        <v>1277633</v>
      </c>
      <c r="FJ30" s="138">
        <v>220933</v>
      </c>
      <c r="FK30" s="138">
        <v>1523644</v>
      </c>
      <c r="FL30" s="147">
        <v>7055</v>
      </c>
      <c r="FM30" s="147">
        <v>6915.197493906961</v>
      </c>
      <c r="FO30" s="181">
        <f t="shared" si="0"/>
        <v>132004.7027027027</v>
      </c>
      <c r="FP30" s="179">
        <f t="shared" si="1"/>
        <v>215.4601913980627</v>
      </c>
      <c r="FR30" s="184"/>
      <c r="FV30" s="184">
        <v>116591</v>
      </c>
      <c r="FW30" s="2">
        <f t="shared" si="2"/>
        <v>-116591</v>
      </c>
    </row>
    <row r="31" spans="1:179" ht="12.75">
      <c r="A31" s="82">
        <v>97</v>
      </c>
      <c r="B31" s="80" t="s">
        <v>29</v>
      </c>
      <c r="C31" s="191">
        <v>2389</v>
      </c>
      <c r="D31" s="146"/>
      <c r="E31" s="150">
        <v>3.4024767801857587</v>
      </c>
      <c r="F31" s="150">
        <v>22.8</v>
      </c>
      <c r="G31" s="151">
        <v>631</v>
      </c>
      <c r="H31" s="152"/>
      <c r="I31" s="152"/>
      <c r="J31" s="152"/>
      <c r="K31" s="150">
        <v>73</v>
      </c>
      <c r="L31" s="151">
        <v>2007</v>
      </c>
      <c r="M31" s="151">
        <v>106</v>
      </c>
      <c r="N31" s="154">
        <v>6888.237756383423</v>
      </c>
      <c r="O31" s="146">
        <v>6053</v>
      </c>
      <c r="P31" s="139">
        <v>2474</v>
      </c>
      <c r="Q31" s="139">
        <v>14966</v>
      </c>
      <c r="R31" s="139">
        <v>-12492</v>
      </c>
      <c r="S31" s="146">
        <v>6871</v>
      </c>
      <c r="T31" s="139">
        <v>6436</v>
      </c>
      <c r="U31" s="160"/>
      <c r="W31" s="138">
        <v>5</v>
      </c>
      <c r="X31" s="138">
        <v>257</v>
      </c>
      <c r="Y31" s="139">
        <v>1077</v>
      </c>
      <c r="Z31" s="138">
        <v>590</v>
      </c>
      <c r="AC31" s="139">
        <v>487</v>
      </c>
      <c r="AE31" s="139">
        <v>-50</v>
      </c>
      <c r="AG31" s="139">
        <v>437</v>
      </c>
      <c r="AH31" s="139">
        <v>1940</v>
      </c>
      <c r="AI31" s="139">
        <v>1182</v>
      </c>
      <c r="AJ31" s="176"/>
      <c r="AK31" s="138">
        <v>-39</v>
      </c>
      <c r="AL31" s="151">
        <v>-301</v>
      </c>
      <c r="AM31" s="151">
        <v>91</v>
      </c>
      <c r="AN31" s="146">
        <v>6871</v>
      </c>
      <c r="AO31" s="139">
        <v>5156</v>
      </c>
      <c r="AP31" s="139">
        <v>763</v>
      </c>
      <c r="AQ31" s="139">
        <v>952</v>
      </c>
      <c r="AR31" s="114">
        <v>19.5</v>
      </c>
      <c r="AS31" s="152"/>
      <c r="AT31" s="138">
        <v>57</v>
      </c>
      <c r="AU31" s="191">
        <v>2377</v>
      </c>
      <c r="AV31" s="146"/>
      <c r="AW31" s="150">
        <v>3.989847715736041</v>
      </c>
      <c r="AX31" s="150">
        <v>21.2</v>
      </c>
      <c r="AY31" s="151">
        <v>853</v>
      </c>
      <c r="AZ31" s="152"/>
      <c r="BA31" s="152"/>
      <c r="BB31" s="152"/>
      <c r="BC31" s="150">
        <v>73.8</v>
      </c>
      <c r="BD31" s="151">
        <v>2138</v>
      </c>
      <c r="BE31" s="151">
        <v>113</v>
      </c>
      <c r="BF31" s="154">
        <v>6934.371055952882</v>
      </c>
      <c r="BG31" s="146">
        <v>4093</v>
      </c>
      <c r="BH31" s="139">
        <v>2984</v>
      </c>
      <c r="BI31" s="139">
        <v>15882</v>
      </c>
      <c r="BJ31" s="139">
        <v>-12898</v>
      </c>
      <c r="BK31" s="146">
        <v>6439</v>
      </c>
      <c r="BL31" s="146">
        <v>7045</v>
      </c>
      <c r="BM31" s="160"/>
      <c r="BO31" s="138">
        <v>1</v>
      </c>
      <c r="BP31" s="138">
        <v>185</v>
      </c>
      <c r="BQ31" s="139">
        <v>772</v>
      </c>
      <c r="BR31" s="138">
        <v>610</v>
      </c>
      <c r="BU31" s="139">
        <v>162</v>
      </c>
      <c r="BW31" s="139"/>
      <c r="BY31" s="138">
        <v>162</v>
      </c>
      <c r="BZ31" s="139">
        <v>2102</v>
      </c>
      <c r="CA31" s="139">
        <v>611</v>
      </c>
      <c r="CB31" s="176"/>
      <c r="CC31" s="138">
        <v>-113</v>
      </c>
      <c r="CD31" s="151">
        <v>-183</v>
      </c>
      <c r="CE31" s="151">
        <v>517</v>
      </c>
      <c r="CF31" s="138">
        <v>6439</v>
      </c>
      <c r="CG31" s="139">
        <v>4975</v>
      </c>
      <c r="CH31" s="139">
        <v>484</v>
      </c>
      <c r="CI31" s="139">
        <v>980</v>
      </c>
      <c r="CJ31" s="114">
        <v>19.5</v>
      </c>
      <c r="CK31" s="152"/>
      <c r="CL31" s="138">
        <v>62</v>
      </c>
      <c r="CM31" s="190">
        <v>2338</v>
      </c>
      <c r="CN31" s="146"/>
      <c r="CO31" s="150">
        <v>13.124087591240876</v>
      </c>
      <c r="CP31" s="150">
        <v>18.280059151404846</v>
      </c>
      <c r="CQ31" s="151">
        <v>1118.9050470487596</v>
      </c>
      <c r="CR31" s="152"/>
      <c r="CS31" s="152"/>
      <c r="CT31" s="152"/>
      <c r="CU31" s="150">
        <v>77.6130198915009</v>
      </c>
      <c r="CV31" s="151">
        <v>2347.3053892215567</v>
      </c>
      <c r="CW31" s="151">
        <v>114.02094717668487</v>
      </c>
      <c r="CX31" s="154">
        <v>7514.114627887083</v>
      </c>
      <c r="CY31" s="146">
        <v>3936</v>
      </c>
      <c r="CZ31" s="139">
        <v>3215</v>
      </c>
      <c r="DA31" s="139">
        <v>16037</v>
      </c>
      <c r="DB31" s="139">
        <v>-12822</v>
      </c>
      <c r="DC31" s="146">
        <v>7078</v>
      </c>
      <c r="DD31" s="146">
        <v>7289</v>
      </c>
      <c r="DE31" s="160"/>
      <c r="DG31" s="138">
        <v>-2</v>
      </c>
      <c r="DH31" s="138">
        <v>251</v>
      </c>
      <c r="DI31" s="139">
        <v>1794</v>
      </c>
      <c r="DJ31" s="138">
        <v>987</v>
      </c>
      <c r="DK31" s="138">
        <v>210</v>
      </c>
      <c r="DM31" s="139">
        <v>1017</v>
      </c>
      <c r="DO31" s="139"/>
      <c r="DQ31" s="138">
        <v>1017</v>
      </c>
      <c r="DR31" s="139">
        <v>3120</v>
      </c>
      <c r="DS31" s="139">
        <v>1564</v>
      </c>
      <c r="DT31" s="176"/>
      <c r="DU31" s="138">
        <v>88</v>
      </c>
      <c r="DV31" s="151">
        <v>-133</v>
      </c>
      <c r="DW31" s="138">
        <v>561</v>
      </c>
      <c r="DX31" s="138">
        <v>7078</v>
      </c>
      <c r="DY31" s="146">
        <v>5416</v>
      </c>
      <c r="DZ31" s="196">
        <v>621</v>
      </c>
      <c r="EA31" s="146">
        <v>1041</v>
      </c>
      <c r="EB31" s="114">
        <v>19.5</v>
      </c>
      <c r="EC31" s="152"/>
      <c r="ED31" s="138">
        <v>15</v>
      </c>
      <c r="EE31" s="138">
        <v>6911</v>
      </c>
      <c r="EF31" s="138">
        <v>10441</v>
      </c>
      <c r="EG31" s="138">
        <v>10613</v>
      </c>
      <c r="EH31" s="138"/>
      <c r="EI31" s="138"/>
      <c r="EJ31" s="138"/>
      <c r="EK31" s="3">
        <v>-1146</v>
      </c>
      <c r="EL31" s="138"/>
      <c r="EM31" s="138">
        <v>55</v>
      </c>
      <c r="EN31" s="3">
        <v>-397</v>
      </c>
      <c r="EO31" s="138">
        <v>19</v>
      </c>
      <c r="EP31" s="138">
        <v>284</v>
      </c>
      <c r="EQ31" s="3">
        <v>-1389</v>
      </c>
      <c r="ER31" s="138">
        <v>41</v>
      </c>
      <c r="ES31" s="138">
        <v>345</v>
      </c>
      <c r="ET31" s="163"/>
      <c r="EU31" s="163"/>
      <c r="EV31" s="138"/>
      <c r="EW31" s="138"/>
      <c r="EX31" s="138"/>
      <c r="EY31" s="138"/>
      <c r="EZ31" s="138">
        <v>1283</v>
      </c>
      <c r="FA31" s="138">
        <v>1100</v>
      </c>
      <c r="FB31" s="138">
        <v>183</v>
      </c>
      <c r="FC31" s="138">
        <v>66</v>
      </c>
      <c r="FD31" s="138">
        <v>1100</v>
      </c>
      <c r="FE31" s="138">
        <v>967</v>
      </c>
      <c r="FF31" s="138">
        <v>133</v>
      </c>
      <c r="FG31" s="138">
        <v>66</v>
      </c>
      <c r="FH31" s="138">
        <v>967</v>
      </c>
      <c r="FI31" s="138">
        <v>834</v>
      </c>
      <c r="FJ31" s="138">
        <v>133</v>
      </c>
      <c r="FK31" s="138">
        <v>38</v>
      </c>
      <c r="FL31" s="147">
        <v>3923</v>
      </c>
      <c r="FM31" s="147">
        <v>3632.730332351704</v>
      </c>
      <c r="FO31" s="181">
        <f t="shared" si="0"/>
        <v>277.7435897435897</v>
      </c>
      <c r="FP31" s="179">
        <f t="shared" si="1"/>
        <v>118.7953762804062</v>
      </c>
      <c r="FR31" s="184"/>
      <c r="FV31" s="184">
        <v>301</v>
      </c>
      <c r="FW31" s="2">
        <f t="shared" si="2"/>
        <v>-301</v>
      </c>
    </row>
    <row r="32" spans="1:179" ht="12.75">
      <c r="A32" s="82">
        <v>98</v>
      </c>
      <c r="B32" s="80" t="s">
        <v>30</v>
      </c>
      <c r="C32" s="191">
        <v>22020</v>
      </c>
      <c r="D32" s="146"/>
      <c r="E32" s="150">
        <v>1.773881499395405</v>
      </c>
      <c r="F32" s="150">
        <v>30.5</v>
      </c>
      <c r="G32" s="151">
        <v>-1320</v>
      </c>
      <c r="H32" s="152"/>
      <c r="I32" s="152"/>
      <c r="J32" s="152"/>
      <c r="K32" s="150">
        <v>61.4</v>
      </c>
      <c r="L32" s="151">
        <v>525</v>
      </c>
      <c r="M32" s="151">
        <v>23</v>
      </c>
      <c r="N32" s="154">
        <v>8357.4931880109</v>
      </c>
      <c r="O32" s="146">
        <v>77400</v>
      </c>
      <c r="P32" s="139">
        <v>70693</v>
      </c>
      <c r="Q32" s="139">
        <v>163270</v>
      </c>
      <c r="R32" s="139">
        <v>-92577</v>
      </c>
      <c r="S32" s="146">
        <v>72940</v>
      </c>
      <c r="T32" s="139">
        <v>26681</v>
      </c>
      <c r="U32" s="160"/>
      <c r="W32" s="138">
        <v>-222</v>
      </c>
      <c r="X32" s="138">
        <v>162</v>
      </c>
      <c r="Y32" s="139">
        <v>6984</v>
      </c>
      <c r="Z32" s="138">
        <v>5263</v>
      </c>
      <c r="AC32" s="139">
        <v>1721</v>
      </c>
      <c r="AD32" s="139">
        <v>6</v>
      </c>
      <c r="AG32" s="139">
        <v>1727</v>
      </c>
      <c r="AH32" s="139">
        <v>20756</v>
      </c>
      <c r="AI32" s="139">
        <v>6261</v>
      </c>
      <c r="AJ32" s="176"/>
      <c r="AK32" s="139">
        <v>-2495</v>
      </c>
      <c r="AL32" s="151">
        <v>-3784</v>
      </c>
      <c r="AM32" s="151">
        <v>-7031</v>
      </c>
      <c r="AN32" s="146">
        <v>72940</v>
      </c>
      <c r="AO32" s="139">
        <v>66162</v>
      </c>
      <c r="AP32" s="139">
        <v>3505</v>
      </c>
      <c r="AQ32" s="139">
        <v>3273</v>
      </c>
      <c r="AR32" s="114">
        <v>19.75</v>
      </c>
      <c r="AS32" s="152"/>
      <c r="AT32" s="138">
        <v>116</v>
      </c>
      <c r="AU32" s="191">
        <v>22054</v>
      </c>
      <c r="AV32" s="146"/>
      <c r="AW32" s="150">
        <v>0.43058035714285714</v>
      </c>
      <c r="AX32" s="150">
        <v>37</v>
      </c>
      <c r="AY32" s="151">
        <v>-1625</v>
      </c>
      <c r="AZ32" s="152"/>
      <c r="BA32" s="152"/>
      <c r="BB32" s="152"/>
      <c r="BC32" s="150">
        <v>54.7</v>
      </c>
      <c r="BD32" s="151">
        <v>655</v>
      </c>
      <c r="BE32" s="151">
        <v>27</v>
      </c>
      <c r="BF32" s="154">
        <v>8702.775006801487</v>
      </c>
      <c r="BG32" s="146">
        <v>81776</v>
      </c>
      <c r="BH32" s="139">
        <v>75036</v>
      </c>
      <c r="BI32" s="139">
        <v>173848</v>
      </c>
      <c r="BJ32" s="139">
        <v>-98812</v>
      </c>
      <c r="BK32" s="146">
        <v>74195</v>
      </c>
      <c r="BL32" s="146">
        <v>26312</v>
      </c>
      <c r="BM32" s="160"/>
      <c r="BO32" s="138">
        <v>-413</v>
      </c>
      <c r="BP32" s="138">
        <v>173</v>
      </c>
      <c r="BQ32" s="139">
        <v>1455</v>
      </c>
      <c r="BR32" s="138">
        <v>5910</v>
      </c>
      <c r="BU32" s="139">
        <v>-4455</v>
      </c>
      <c r="BV32" s="139">
        <v>6</v>
      </c>
      <c r="BY32" s="138">
        <v>-4449</v>
      </c>
      <c r="BZ32" s="139">
        <v>16308</v>
      </c>
      <c r="CA32" s="139">
        <v>1145</v>
      </c>
      <c r="CB32" s="176"/>
      <c r="CC32" s="139">
        <v>-3293</v>
      </c>
      <c r="CD32" s="151">
        <v>-4006</v>
      </c>
      <c r="CE32" s="151">
        <v>-6656</v>
      </c>
      <c r="CF32" s="138">
        <v>74195</v>
      </c>
      <c r="CG32" s="139">
        <v>68713</v>
      </c>
      <c r="CH32" s="139">
        <v>2092</v>
      </c>
      <c r="CI32" s="139">
        <v>3390</v>
      </c>
      <c r="CJ32" s="114">
        <v>19.75</v>
      </c>
      <c r="CK32" s="152"/>
      <c r="CL32" s="138">
        <v>210</v>
      </c>
      <c r="CM32" s="190">
        <v>21987</v>
      </c>
      <c r="CN32" s="146"/>
      <c r="CO32" s="150">
        <v>1.3680876562232493</v>
      </c>
      <c r="CP32" s="150">
        <v>41.37419886911853</v>
      </c>
      <c r="CQ32" s="151">
        <v>-2050.2569700277436</v>
      </c>
      <c r="CR32" s="152"/>
      <c r="CS32" s="152"/>
      <c r="CT32" s="152"/>
      <c r="CU32" s="150">
        <v>50.20350758940724</v>
      </c>
      <c r="CV32" s="151">
        <v>695.8657388456816</v>
      </c>
      <c r="CW32" s="151">
        <v>27.512969449740613</v>
      </c>
      <c r="CX32" s="154">
        <v>9231.682357756856</v>
      </c>
      <c r="CY32" s="146">
        <v>83444</v>
      </c>
      <c r="CZ32" s="139">
        <v>76529</v>
      </c>
      <c r="DA32" s="139">
        <v>178038</v>
      </c>
      <c r="DB32" s="139">
        <v>-101509</v>
      </c>
      <c r="DC32" s="146">
        <v>82596</v>
      </c>
      <c r="DD32" s="146">
        <v>26558</v>
      </c>
      <c r="DE32" s="160"/>
      <c r="DG32" s="138">
        <v>-485</v>
      </c>
      <c r="DH32" s="138">
        <v>303</v>
      </c>
      <c r="DI32" s="139">
        <v>7463</v>
      </c>
      <c r="DJ32" s="138">
        <v>10328</v>
      </c>
      <c r="DK32" s="138">
        <v>1873</v>
      </c>
      <c r="DM32" s="139">
        <v>-992</v>
      </c>
      <c r="DN32" s="139">
        <v>6</v>
      </c>
      <c r="DQ32" s="138">
        <v>-986</v>
      </c>
      <c r="DR32" s="139">
        <v>15322</v>
      </c>
      <c r="DS32" s="139">
        <v>7265</v>
      </c>
      <c r="DT32" s="176"/>
      <c r="DU32" s="139">
        <v>-1777</v>
      </c>
      <c r="DV32" s="151">
        <v>-5314</v>
      </c>
      <c r="DW32" s="138">
        <v>-9430</v>
      </c>
      <c r="DX32" s="138">
        <v>82596</v>
      </c>
      <c r="DY32" s="146">
        <v>75525</v>
      </c>
      <c r="DZ32" s="196">
        <v>2640</v>
      </c>
      <c r="EA32" s="146">
        <v>4431</v>
      </c>
      <c r="EB32" s="114">
        <v>20.75</v>
      </c>
      <c r="EC32" s="152"/>
      <c r="ED32" s="138">
        <v>117</v>
      </c>
      <c r="EE32" s="138">
        <v>61164</v>
      </c>
      <c r="EF32" s="138">
        <v>66363</v>
      </c>
      <c r="EG32" s="138">
        <v>67329</v>
      </c>
      <c r="EH32" s="138"/>
      <c r="EI32" s="138"/>
      <c r="EJ32" s="138"/>
      <c r="EK32" s="3">
        <v>-16603</v>
      </c>
      <c r="EL32" s="138">
        <v>2455</v>
      </c>
      <c r="EM32" s="138">
        <v>856</v>
      </c>
      <c r="EN32" s="3">
        <v>-13438</v>
      </c>
      <c r="EO32" s="138">
        <v>5280</v>
      </c>
      <c r="EP32" s="138">
        <v>357</v>
      </c>
      <c r="EQ32" s="3">
        <v>-19164</v>
      </c>
      <c r="ER32" s="138">
        <v>190</v>
      </c>
      <c r="ES32" s="138">
        <v>2279</v>
      </c>
      <c r="ET32" s="163">
        <v>6000</v>
      </c>
      <c r="EU32" s="163">
        <v>-1000</v>
      </c>
      <c r="EV32" s="138">
        <v>14700</v>
      </c>
      <c r="EW32" s="138"/>
      <c r="EX32" s="138">
        <v>16000</v>
      </c>
      <c r="EY32" s="138">
        <v>800</v>
      </c>
      <c r="EZ32" s="138">
        <v>24417</v>
      </c>
      <c r="FA32" s="138">
        <v>18412</v>
      </c>
      <c r="FB32" s="138">
        <v>6005</v>
      </c>
      <c r="FC32" s="138">
        <v>1383</v>
      </c>
      <c r="FD32" s="138">
        <v>35112</v>
      </c>
      <c r="FE32" s="138">
        <v>27801</v>
      </c>
      <c r="FF32" s="138">
        <v>7311</v>
      </c>
      <c r="FG32" s="138">
        <v>1553</v>
      </c>
      <c r="FH32" s="138">
        <v>46597</v>
      </c>
      <c r="FI32" s="138">
        <v>38147</v>
      </c>
      <c r="FJ32" s="138">
        <v>8450</v>
      </c>
      <c r="FK32" s="138">
        <v>1449</v>
      </c>
      <c r="FL32" s="147">
        <v>1957</v>
      </c>
      <c r="FM32" s="147">
        <v>2378.072005078444</v>
      </c>
      <c r="FO32" s="181">
        <f t="shared" si="0"/>
        <v>3639.759036144578</v>
      </c>
      <c r="FP32" s="179">
        <f t="shared" si="1"/>
        <v>165.54141247758122</v>
      </c>
      <c r="FR32" s="184"/>
      <c r="FV32" s="184">
        <v>3784</v>
      </c>
      <c r="FW32" s="2">
        <f t="shared" si="2"/>
        <v>-3784</v>
      </c>
    </row>
    <row r="33" spans="1:179" ht="12.75">
      <c r="A33" s="82">
        <v>99</v>
      </c>
      <c r="B33" s="80" t="s">
        <v>31</v>
      </c>
      <c r="C33" s="191">
        <v>1848</v>
      </c>
      <c r="D33" s="146"/>
      <c r="E33" s="150">
        <v>0.3230769230769231</v>
      </c>
      <c r="F33" s="150">
        <v>33.4</v>
      </c>
      <c r="G33" s="151">
        <v>-2802</v>
      </c>
      <c r="H33" s="152"/>
      <c r="I33" s="152"/>
      <c r="J33" s="152"/>
      <c r="K33" s="150">
        <v>34.9</v>
      </c>
      <c r="L33" s="151">
        <v>91</v>
      </c>
      <c r="M33" s="151">
        <v>3</v>
      </c>
      <c r="N33" s="154">
        <v>10376.623376623376</v>
      </c>
      <c r="O33" s="146">
        <v>8498</v>
      </c>
      <c r="P33" s="139">
        <v>8251</v>
      </c>
      <c r="Q33" s="139">
        <v>18071</v>
      </c>
      <c r="R33" s="139">
        <v>-9820</v>
      </c>
      <c r="S33" s="146">
        <v>5033</v>
      </c>
      <c r="T33" s="139">
        <v>4940</v>
      </c>
      <c r="U33" s="160"/>
      <c r="W33" s="138">
        <v>-84</v>
      </c>
      <c r="X33" s="138">
        <v>14</v>
      </c>
      <c r="Y33" s="139">
        <v>83</v>
      </c>
      <c r="Z33" s="138">
        <v>312</v>
      </c>
      <c r="AC33" s="139">
        <v>-229</v>
      </c>
      <c r="AD33" s="139">
        <v>5</v>
      </c>
      <c r="AE33" s="139"/>
      <c r="AG33" s="139">
        <v>-224</v>
      </c>
      <c r="AH33" s="139">
        <v>-1655</v>
      </c>
      <c r="AI33" s="139">
        <v>85</v>
      </c>
      <c r="AJ33" s="176"/>
      <c r="AK33" s="139">
        <v>-151</v>
      </c>
      <c r="AL33" s="151">
        <v>-435</v>
      </c>
      <c r="AM33" s="151">
        <v>-368</v>
      </c>
      <c r="AN33" s="146">
        <v>5033</v>
      </c>
      <c r="AO33" s="139">
        <v>4140</v>
      </c>
      <c r="AP33" s="139">
        <v>626</v>
      </c>
      <c r="AQ33" s="139">
        <v>267</v>
      </c>
      <c r="AR33" s="114">
        <v>20.25</v>
      </c>
      <c r="AS33" s="152"/>
      <c r="AT33" s="138">
        <v>265</v>
      </c>
      <c r="AU33" s="191">
        <v>1832</v>
      </c>
      <c r="AV33" s="146"/>
      <c r="AW33" s="150">
        <v>0.7450271247739603</v>
      </c>
      <c r="AX33" s="150">
        <v>34.1</v>
      </c>
      <c r="AY33" s="151">
        <v>-2916</v>
      </c>
      <c r="AZ33" s="152"/>
      <c r="BA33" s="152"/>
      <c r="BB33" s="152"/>
      <c r="BC33" s="150">
        <v>33.2</v>
      </c>
      <c r="BD33" s="151">
        <v>128</v>
      </c>
      <c r="BE33" s="151">
        <v>4</v>
      </c>
      <c r="BF33" s="154">
        <v>10751.091703056769</v>
      </c>
      <c r="BG33" s="146">
        <v>8813</v>
      </c>
      <c r="BH33" s="139">
        <v>8929</v>
      </c>
      <c r="BI33" s="139">
        <v>18569</v>
      </c>
      <c r="BJ33" s="139">
        <v>-9640</v>
      </c>
      <c r="BK33" s="146">
        <v>5067</v>
      </c>
      <c r="BL33" s="146">
        <v>4969</v>
      </c>
      <c r="BM33" s="160"/>
      <c r="BO33" s="138">
        <v>-96</v>
      </c>
      <c r="BP33" s="138">
        <v>15</v>
      </c>
      <c r="BQ33" s="139">
        <v>315</v>
      </c>
      <c r="BR33" s="138">
        <v>363</v>
      </c>
      <c r="BU33" s="139">
        <v>-48</v>
      </c>
      <c r="BV33" s="139">
        <v>5</v>
      </c>
      <c r="BW33" s="139"/>
      <c r="BY33" s="138">
        <v>-43</v>
      </c>
      <c r="BZ33" s="139">
        <v>-1697</v>
      </c>
      <c r="CA33" s="139">
        <v>284</v>
      </c>
      <c r="CB33" s="176"/>
      <c r="CC33" s="139">
        <v>-148</v>
      </c>
      <c r="CD33" s="151">
        <v>-456</v>
      </c>
      <c r="CE33" s="151">
        <v>-210</v>
      </c>
      <c r="CF33" s="138">
        <v>5067</v>
      </c>
      <c r="CG33" s="139">
        <v>4272</v>
      </c>
      <c r="CH33" s="139">
        <v>511</v>
      </c>
      <c r="CI33" s="139">
        <v>284</v>
      </c>
      <c r="CJ33" s="114">
        <v>20.75</v>
      </c>
      <c r="CK33" s="152"/>
      <c r="CL33" s="138">
        <v>137</v>
      </c>
      <c r="CM33" s="190">
        <v>1819</v>
      </c>
      <c r="CN33" s="146"/>
      <c r="CO33" s="150">
        <v>0.5365025466893039</v>
      </c>
      <c r="CP33" s="150">
        <v>33.682989826577405</v>
      </c>
      <c r="CQ33" s="151">
        <v>-2958.768554150632</v>
      </c>
      <c r="CR33" s="152"/>
      <c r="CS33" s="152"/>
      <c r="CT33" s="152"/>
      <c r="CU33" s="150">
        <v>32.53215264600464</v>
      </c>
      <c r="CV33" s="151">
        <v>103.35349092908191</v>
      </c>
      <c r="CW33" s="151">
        <v>3.5011990407673856</v>
      </c>
      <c r="CX33" s="154">
        <v>10774.60142935679</v>
      </c>
      <c r="CY33" s="146">
        <v>8675</v>
      </c>
      <c r="CZ33" s="139">
        <v>8687</v>
      </c>
      <c r="DA33" s="139">
        <v>18665</v>
      </c>
      <c r="DB33" s="139">
        <v>-9978</v>
      </c>
      <c r="DC33" s="146">
        <v>5476</v>
      </c>
      <c r="DD33" s="146">
        <v>4808</v>
      </c>
      <c r="DE33" s="160"/>
      <c r="DG33" s="138">
        <v>-75</v>
      </c>
      <c r="DH33" s="138">
        <v>10</v>
      </c>
      <c r="DI33" s="139">
        <v>241</v>
      </c>
      <c r="DJ33" s="138">
        <v>382</v>
      </c>
      <c r="DM33" s="139">
        <v>-141</v>
      </c>
      <c r="DN33" s="139">
        <v>6</v>
      </c>
      <c r="DO33" s="139"/>
      <c r="DQ33" s="138">
        <v>-135</v>
      </c>
      <c r="DR33" s="139">
        <v>-1833</v>
      </c>
      <c r="DS33" s="139">
        <v>137</v>
      </c>
      <c r="DT33" s="176"/>
      <c r="DU33" s="139">
        <v>71</v>
      </c>
      <c r="DV33" s="151">
        <v>-514</v>
      </c>
      <c r="DW33" s="138">
        <v>-5</v>
      </c>
      <c r="DX33" s="138">
        <v>5476</v>
      </c>
      <c r="DY33" s="146">
        <v>4538</v>
      </c>
      <c r="DZ33" s="196">
        <v>646</v>
      </c>
      <c r="EA33" s="146">
        <v>292</v>
      </c>
      <c r="EB33" s="114">
        <v>20.75</v>
      </c>
      <c r="EC33" s="152"/>
      <c r="ED33" s="138">
        <v>232</v>
      </c>
      <c r="EE33" s="138">
        <v>8512</v>
      </c>
      <c r="EF33" s="138">
        <v>8634</v>
      </c>
      <c r="EG33" s="138">
        <v>8751</v>
      </c>
      <c r="EH33" s="138">
        <v>300</v>
      </c>
      <c r="EI33" s="138">
        <v>240</v>
      </c>
      <c r="EJ33" s="138"/>
      <c r="EK33" s="3">
        <v>-537</v>
      </c>
      <c r="EL33" s="138">
        <v>86</v>
      </c>
      <c r="EM33" s="138">
        <v>-2</v>
      </c>
      <c r="EN33" s="3">
        <v>-530</v>
      </c>
      <c r="EO33" s="138">
        <v>1</v>
      </c>
      <c r="EP33" s="138">
        <v>35</v>
      </c>
      <c r="EQ33" s="3">
        <v>-304</v>
      </c>
      <c r="ES33" s="138">
        <v>162</v>
      </c>
      <c r="ET33" s="163">
        <v>200</v>
      </c>
      <c r="EU33" s="163">
        <v>-60</v>
      </c>
      <c r="EV33" s="138">
        <v>470</v>
      </c>
      <c r="EW33" s="138">
        <v>330</v>
      </c>
      <c r="EX33" s="138">
        <v>400</v>
      </c>
      <c r="EY33" s="138">
        <v>13</v>
      </c>
      <c r="EZ33" s="138">
        <v>3651</v>
      </c>
      <c r="FA33" s="138">
        <v>2890</v>
      </c>
      <c r="FB33" s="138">
        <v>761</v>
      </c>
      <c r="FC33" s="138">
        <v>19</v>
      </c>
      <c r="FD33" s="138">
        <v>3994</v>
      </c>
      <c r="FE33" s="138">
        <v>2857</v>
      </c>
      <c r="FF33" s="138">
        <v>1137</v>
      </c>
      <c r="FG33" s="138">
        <v>11</v>
      </c>
      <c r="FH33" s="138">
        <v>3894</v>
      </c>
      <c r="FI33" s="138">
        <v>2692</v>
      </c>
      <c r="FJ33" s="138">
        <v>1202</v>
      </c>
      <c r="FK33" s="138">
        <v>6</v>
      </c>
      <c r="FL33" s="147">
        <v>2801</v>
      </c>
      <c r="FM33" s="147">
        <v>2999.4541484716156</v>
      </c>
      <c r="FO33" s="181">
        <f t="shared" si="0"/>
        <v>218.6987951807229</v>
      </c>
      <c r="FP33" s="179">
        <f t="shared" si="1"/>
        <v>120.2302337442127</v>
      </c>
      <c r="FR33" s="184"/>
      <c r="FV33" s="184">
        <v>435</v>
      </c>
      <c r="FW33" s="2">
        <f t="shared" si="2"/>
        <v>-435</v>
      </c>
    </row>
    <row r="34" spans="1:179" ht="12.75">
      <c r="A34" s="82">
        <v>102</v>
      </c>
      <c r="B34" s="80" t="s">
        <v>32</v>
      </c>
      <c r="C34" s="191">
        <v>10638</v>
      </c>
      <c r="D34" s="146"/>
      <c r="E34" s="150">
        <v>2.704287826515525</v>
      </c>
      <c r="F34" s="150">
        <v>28.9</v>
      </c>
      <c r="G34" s="151">
        <v>-725</v>
      </c>
      <c r="H34" s="152"/>
      <c r="I34" s="152"/>
      <c r="J34" s="152"/>
      <c r="K34" s="150">
        <v>66.9</v>
      </c>
      <c r="L34" s="151">
        <v>680</v>
      </c>
      <c r="M34" s="151">
        <v>36</v>
      </c>
      <c r="N34" s="154">
        <v>6866.516262455349</v>
      </c>
      <c r="O34" s="146">
        <v>34314</v>
      </c>
      <c r="P34" s="139">
        <v>17037</v>
      </c>
      <c r="Q34" s="139">
        <v>65509</v>
      </c>
      <c r="R34" s="139">
        <v>-48472</v>
      </c>
      <c r="S34" s="146">
        <v>29452</v>
      </c>
      <c r="T34" s="139">
        <v>24336</v>
      </c>
      <c r="U34" s="160"/>
      <c r="W34" s="138">
        <v>-207</v>
      </c>
      <c r="X34" s="138">
        <v>124</v>
      </c>
      <c r="Y34" s="139">
        <v>5233</v>
      </c>
      <c r="Z34" s="138">
        <v>2482</v>
      </c>
      <c r="AB34" s="139"/>
      <c r="AC34" s="139">
        <v>2751</v>
      </c>
      <c r="AD34" s="138">
        <v>20</v>
      </c>
      <c r="AG34" s="139">
        <v>2771</v>
      </c>
      <c r="AH34" s="139">
        <v>8887</v>
      </c>
      <c r="AI34" s="139">
        <v>5039</v>
      </c>
      <c r="AJ34" s="176"/>
      <c r="AK34" s="139">
        <v>-732</v>
      </c>
      <c r="AL34" s="151">
        <v>-1775</v>
      </c>
      <c r="AM34" s="151">
        <v>900</v>
      </c>
      <c r="AN34" s="146">
        <v>29452</v>
      </c>
      <c r="AO34" s="139">
        <v>25880</v>
      </c>
      <c r="AP34" s="139">
        <v>2142</v>
      </c>
      <c r="AQ34" s="139">
        <v>1430</v>
      </c>
      <c r="AR34" s="114">
        <v>19.75</v>
      </c>
      <c r="AS34" s="152"/>
      <c r="AT34" s="138">
        <v>42</v>
      </c>
      <c r="AU34" s="191">
        <v>10623</v>
      </c>
      <c r="AV34" s="146"/>
      <c r="AW34" s="150">
        <v>1.0323910482921084</v>
      </c>
      <c r="AX34" s="150">
        <v>32.8</v>
      </c>
      <c r="AY34" s="151">
        <v>-1247</v>
      </c>
      <c r="AZ34" s="152"/>
      <c r="BA34" s="152"/>
      <c r="BB34" s="152"/>
      <c r="BC34" s="150">
        <v>63.8</v>
      </c>
      <c r="BD34" s="151">
        <v>540</v>
      </c>
      <c r="BE34" s="151">
        <v>26</v>
      </c>
      <c r="BF34" s="154">
        <v>7576.390850042361</v>
      </c>
      <c r="BG34" s="146">
        <v>35994</v>
      </c>
      <c r="BH34" s="139">
        <v>16845</v>
      </c>
      <c r="BI34" s="139">
        <v>69818</v>
      </c>
      <c r="BJ34" s="139">
        <v>-52973</v>
      </c>
      <c r="BK34" s="146">
        <v>29589</v>
      </c>
      <c r="BL34" s="146">
        <v>25045</v>
      </c>
      <c r="BM34" s="160"/>
      <c r="BO34" s="138">
        <v>-248</v>
      </c>
      <c r="BP34" s="138">
        <v>77</v>
      </c>
      <c r="BQ34" s="139">
        <v>1490</v>
      </c>
      <c r="BR34" s="138">
        <v>2541</v>
      </c>
      <c r="BS34" s="138">
        <v>842</v>
      </c>
      <c r="BT34" s="139"/>
      <c r="BU34" s="139">
        <v>-209</v>
      </c>
      <c r="BV34" s="138">
        <v>19</v>
      </c>
      <c r="BY34" s="138">
        <v>-190</v>
      </c>
      <c r="BZ34" s="139">
        <v>8696</v>
      </c>
      <c r="CA34" s="139">
        <v>2078</v>
      </c>
      <c r="CB34" s="176"/>
      <c r="CC34" s="139">
        <v>1065</v>
      </c>
      <c r="CD34" s="151">
        <v>-1435</v>
      </c>
      <c r="CE34" s="151">
        <v>-5414</v>
      </c>
      <c r="CF34" s="138">
        <v>29589</v>
      </c>
      <c r="CG34" s="139">
        <v>26480</v>
      </c>
      <c r="CH34" s="139">
        <v>1582</v>
      </c>
      <c r="CI34" s="139">
        <v>1527</v>
      </c>
      <c r="CJ34" s="114">
        <v>19.75</v>
      </c>
      <c r="CK34" s="152"/>
      <c r="CL34" s="138">
        <v>159</v>
      </c>
      <c r="CM34" s="190">
        <v>10543</v>
      </c>
      <c r="CN34" s="146"/>
      <c r="CO34" s="150">
        <v>1.2572523262178434</v>
      </c>
      <c r="CP34" s="150">
        <v>34.977917807465296</v>
      </c>
      <c r="CQ34" s="151">
        <v>-1500.901071801195</v>
      </c>
      <c r="CR34" s="152"/>
      <c r="CS34" s="152"/>
      <c r="CT34" s="152"/>
      <c r="CU34" s="150">
        <v>60.895871240698824</v>
      </c>
      <c r="CV34" s="151">
        <v>494.6409940244712</v>
      </c>
      <c r="CW34" s="151">
        <v>24.681029005614405</v>
      </c>
      <c r="CX34" s="154">
        <v>7315.090581428436</v>
      </c>
      <c r="CY34" s="146">
        <v>36000</v>
      </c>
      <c r="CZ34" s="139">
        <v>16206</v>
      </c>
      <c r="DA34" s="139">
        <v>70474</v>
      </c>
      <c r="DB34" s="139">
        <v>-54268</v>
      </c>
      <c r="DC34" s="146">
        <v>30818</v>
      </c>
      <c r="DD34" s="146">
        <v>25659</v>
      </c>
      <c r="DE34" s="160"/>
      <c r="DG34" s="138">
        <v>-229</v>
      </c>
      <c r="DH34" s="138">
        <v>59</v>
      </c>
      <c r="DI34" s="139">
        <v>2039</v>
      </c>
      <c r="DJ34" s="138">
        <v>3366</v>
      </c>
      <c r="DL34" s="139"/>
      <c r="DM34" s="139">
        <v>-1327</v>
      </c>
      <c r="DN34" s="138">
        <v>35</v>
      </c>
      <c r="DQ34" s="138">
        <v>-1292</v>
      </c>
      <c r="DR34" s="139">
        <v>7404</v>
      </c>
      <c r="DS34" s="139">
        <v>1902</v>
      </c>
      <c r="DT34" s="176"/>
      <c r="DU34" s="139">
        <v>73</v>
      </c>
      <c r="DV34" s="151">
        <v>-1569</v>
      </c>
      <c r="DW34" s="138">
        <v>-2605</v>
      </c>
      <c r="DX34" s="138">
        <v>30818</v>
      </c>
      <c r="DY34" s="146">
        <v>27424</v>
      </c>
      <c r="DZ34" s="196">
        <v>1609</v>
      </c>
      <c r="EA34" s="146">
        <v>1785</v>
      </c>
      <c r="EB34" s="114">
        <v>19.75</v>
      </c>
      <c r="EC34" s="152"/>
      <c r="ED34" s="138">
        <v>203</v>
      </c>
      <c r="EE34" s="138">
        <v>24090</v>
      </c>
      <c r="EF34" s="138">
        <v>26012</v>
      </c>
      <c r="EG34" s="138">
        <v>26472</v>
      </c>
      <c r="EH34" s="138"/>
      <c r="EI34" s="138"/>
      <c r="EJ34" s="138"/>
      <c r="EK34" s="3">
        <v>-5479</v>
      </c>
      <c r="EL34" s="138">
        <v>839</v>
      </c>
      <c r="EM34" s="138">
        <v>501</v>
      </c>
      <c r="EN34" s="3">
        <v>-8926</v>
      </c>
      <c r="EO34" s="138">
        <v>580</v>
      </c>
      <c r="EP34" s="138">
        <v>854</v>
      </c>
      <c r="EQ34" s="3">
        <v>-4781</v>
      </c>
      <c r="ER34" s="138">
        <v>103</v>
      </c>
      <c r="ES34" s="138">
        <v>171</v>
      </c>
      <c r="ET34" s="163">
        <v>1500</v>
      </c>
      <c r="EU34" s="163"/>
      <c r="EV34" s="138">
        <v>3000</v>
      </c>
      <c r="EW34" s="138"/>
      <c r="EX34" s="138">
        <v>4000</v>
      </c>
      <c r="EY34" s="138"/>
      <c r="EZ34" s="138">
        <v>10678</v>
      </c>
      <c r="FA34" s="138">
        <v>9320</v>
      </c>
      <c r="FB34" s="138">
        <v>1358</v>
      </c>
      <c r="FC34" s="138">
        <v>0</v>
      </c>
      <c r="FD34" s="138">
        <v>12244</v>
      </c>
      <c r="FE34" s="138">
        <v>10675</v>
      </c>
      <c r="FF34" s="138">
        <v>1569</v>
      </c>
      <c r="FG34" s="138">
        <v>0</v>
      </c>
      <c r="FH34" s="138">
        <v>14675</v>
      </c>
      <c r="FI34" s="138">
        <v>12851</v>
      </c>
      <c r="FJ34" s="138">
        <v>1824</v>
      </c>
      <c r="FK34" s="138">
        <v>0</v>
      </c>
      <c r="FL34" s="147">
        <v>1497</v>
      </c>
      <c r="FM34" s="147">
        <v>1657.1589946342842</v>
      </c>
      <c r="FO34" s="181">
        <f t="shared" si="0"/>
        <v>1388.5569620253164</v>
      </c>
      <c r="FP34" s="179">
        <f t="shared" si="1"/>
        <v>131.7041602983322</v>
      </c>
      <c r="FR34" s="184"/>
      <c r="FV34" s="184">
        <v>1775</v>
      </c>
      <c r="FW34" s="2">
        <f t="shared" si="2"/>
        <v>-1775</v>
      </c>
    </row>
    <row r="35" spans="1:179" ht="12.75">
      <c r="A35" s="82">
        <v>103</v>
      </c>
      <c r="B35" s="80" t="s">
        <v>33</v>
      </c>
      <c r="C35" s="191">
        <v>2503</v>
      </c>
      <c r="D35" s="146"/>
      <c r="E35" s="150">
        <v>0.21052631578947367</v>
      </c>
      <c r="F35" s="150">
        <v>47.3</v>
      </c>
      <c r="G35" s="151">
        <v>-1820</v>
      </c>
      <c r="H35" s="152"/>
      <c r="I35" s="152"/>
      <c r="J35" s="152"/>
      <c r="K35" s="150">
        <v>47.7</v>
      </c>
      <c r="L35" s="151">
        <v>30</v>
      </c>
      <c r="M35" s="151">
        <v>2</v>
      </c>
      <c r="N35" s="154">
        <v>6260.087894526568</v>
      </c>
      <c r="O35" s="146">
        <v>5713</v>
      </c>
      <c r="P35" s="139">
        <v>1987</v>
      </c>
      <c r="Q35" s="139">
        <v>14105</v>
      </c>
      <c r="R35" s="139">
        <v>-12118</v>
      </c>
      <c r="S35" s="146">
        <v>6382</v>
      </c>
      <c r="T35" s="139">
        <v>5883</v>
      </c>
      <c r="U35" s="160"/>
      <c r="W35" s="138">
        <v>-88</v>
      </c>
      <c r="X35" s="138">
        <v>44</v>
      </c>
      <c r="Y35" s="139">
        <v>103</v>
      </c>
      <c r="Z35" s="138">
        <v>326</v>
      </c>
      <c r="AC35" s="139">
        <v>-223</v>
      </c>
      <c r="AD35" s="139">
        <v>2</v>
      </c>
      <c r="AG35" s="139">
        <v>-221</v>
      </c>
      <c r="AH35" s="139">
        <v>-478</v>
      </c>
      <c r="AI35" s="139">
        <v>35</v>
      </c>
      <c r="AJ35" s="176"/>
      <c r="AK35" s="139">
        <v>-320</v>
      </c>
      <c r="AL35" s="151">
        <v>-958</v>
      </c>
      <c r="AM35" s="151">
        <v>-221</v>
      </c>
      <c r="AN35" s="146">
        <v>6382</v>
      </c>
      <c r="AO35" s="139">
        <v>5609</v>
      </c>
      <c r="AP35" s="139">
        <v>450</v>
      </c>
      <c r="AQ35" s="139">
        <v>323</v>
      </c>
      <c r="AR35" s="114">
        <v>20.5</v>
      </c>
      <c r="AS35" s="152"/>
      <c r="AT35" s="138">
        <v>270</v>
      </c>
      <c r="AU35" s="191">
        <v>2496</v>
      </c>
      <c r="AV35" s="146"/>
      <c r="AW35" s="150">
        <v>0.18433179723502305</v>
      </c>
      <c r="AX35" s="150">
        <v>50.1</v>
      </c>
      <c r="AY35" s="151">
        <v>-1820</v>
      </c>
      <c r="AZ35" s="152"/>
      <c r="BA35" s="152"/>
      <c r="BB35" s="152"/>
      <c r="BC35" s="150">
        <v>44</v>
      </c>
      <c r="BD35" s="151">
        <v>341</v>
      </c>
      <c r="BE35" s="151">
        <v>19</v>
      </c>
      <c r="BF35" s="154">
        <v>6549.679487179487</v>
      </c>
      <c r="BG35" s="146">
        <v>6112</v>
      </c>
      <c r="BH35" s="139">
        <v>1921</v>
      </c>
      <c r="BI35" s="139">
        <v>14871</v>
      </c>
      <c r="BJ35" s="139">
        <v>-12950</v>
      </c>
      <c r="BK35" s="146">
        <v>6658</v>
      </c>
      <c r="BL35" s="146">
        <v>6493</v>
      </c>
      <c r="BM35" s="160"/>
      <c r="BO35" s="138">
        <v>-58</v>
      </c>
      <c r="BP35" s="138">
        <v>-2</v>
      </c>
      <c r="BQ35" s="139">
        <v>141</v>
      </c>
      <c r="BR35" s="138">
        <v>361</v>
      </c>
      <c r="BU35" s="139">
        <v>-220</v>
      </c>
      <c r="BV35" s="139">
        <v>2</v>
      </c>
      <c r="BY35" s="138">
        <v>-218</v>
      </c>
      <c r="BZ35" s="139">
        <v>-696</v>
      </c>
      <c r="CA35" s="139">
        <v>135</v>
      </c>
      <c r="CB35" s="176"/>
      <c r="CC35" s="139">
        <v>-42</v>
      </c>
      <c r="CD35" s="151">
        <v>-1203</v>
      </c>
      <c r="CE35" s="151">
        <v>5</v>
      </c>
      <c r="CF35" s="138">
        <v>6658</v>
      </c>
      <c r="CG35" s="139">
        <v>6064</v>
      </c>
      <c r="CH35" s="139">
        <v>263</v>
      </c>
      <c r="CI35" s="139">
        <v>331</v>
      </c>
      <c r="CJ35" s="114">
        <v>21</v>
      </c>
      <c r="CK35" s="152"/>
      <c r="CL35" s="138">
        <v>216</v>
      </c>
      <c r="CM35" s="190">
        <v>2463</v>
      </c>
      <c r="CN35" s="146"/>
      <c r="CO35" s="150">
        <v>0.36999364272091545</v>
      </c>
      <c r="CP35" s="150">
        <v>39.36272932088832</v>
      </c>
      <c r="CQ35" s="151">
        <v>-1719.0418189200163</v>
      </c>
      <c r="CR35" s="152"/>
      <c r="CS35" s="152"/>
      <c r="CT35" s="152"/>
      <c r="CU35" s="150">
        <v>49.909895150720835</v>
      </c>
      <c r="CV35" s="151">
        <v>321.1530653674381</v>
      </c>
      <c r="CW35" s="151">
        <v>17.05446275621714</v>
      </c>
      <c r="CX35" s="154">
        <v>6873.32521315469</v>
      </c>
      <c r="CY35" s="146">
        <v>6070</v>
      </c>
      <c r="CZ35" s="139">
        <v>1826</v>
      </c>
      <c r="DA35" s="139">
        <v>14698</v>
      </c>
      <c r="DB35" s="139">
        <v>-12872</v>
      </c>
      <c r="DC35" s="146">
        <v>7330</v>
      </c>
      <c r="DD35" s="146">
        <v>6379</v>
      </c>
      <c r="DE35" s="160"/>
      <c r="DG35" s="138">
        <v>-31</v>
      </c>
      <c r="DH35" s="138">
        <v>-294</v>
      </c>
      <c r="DI35" s="139">
        <v>512</v>
      </c>
      <c r="DJ35" s="138">
        <v>355</v>
      </c>
      <c r="DM35" s="139">
        <v>157</v>
      </c>
      <c r="DN35" s="139">
        <v>2</v>
      </c>
      <c r="DQ35" s="138">
        <v>159</v>
      </c>
      <c r="DR35" s="139">
        <v>-535</v>
      </c>
      <c r="DS35" s="139">
        <v>466</v>
      </c>
      <c r="DT35" s="176"/>
      <c r="DU35" s="139">
        <v>1063</v>
      </c>
      <c r="DV35" s="151">
        <v>-1503</v>
      </c>
      <c r="DW35" s="138">
        <v>307</v>
      </c>
      <c r="DX35" s="138">
        <v>7330</v>
      </c>
      <c r="DY35" s="146">
        <v>6726</v>
      </c>
      <c r="DZ35" s="196">
        <v>266</v>
      </c>
      <c r="EA35" s="146">
        <v>338</v>
      </c>
      <c r="EB35" s="114">
        <v>21</v>
      </c>
      <c r="EC35" s="152"/>
      <c r="ED35" s="138">
        <v>193</v>
      </c>
      <c r="EE35" s="138">
        <v>6810</v>
      </c>
      <c r="EF35" s="138">
        <v>7147</v>
      </c>
      <c r="EG35" s="138">
        <v>6926</v>
      </c>
      <c r="EH35" s="138"/>
      <c r="EI35" s="138">
        <v>320</v>
      </c>
      <c r="EJ35" s="138"/>
      <c r="EK35" s="3">
        <v>-480</v>
      </c>
      <c r="EL35" s="138">
        <v>18</v>
      </c>
      <c r="EM35" s="138">
        <v>206</v>
      </c>
      <c r="EN35" s="3">
        <v>-165</v>
      </c>
      <c r="EO35" s="138">
        <v>7</v>
      </c>
      <c r="EP35" s="138">
        <v>28</v>
      </c>
      <c r="EQ35" s="3">
        <v>-347</v>
      </c>
      <c r="ES35" s="138">
        <v>188</v>
      </c>
      <c r="ET35" s="163">
        <v>1500</v>
      </c>
      <c r="EU35" s="163">
        <v>151</v>
      </c>
      <c r="EV35" s="138">
        <v>1500</v>
      </c>
      <c r="EW35" s="138">
        <v>350</v>
      </c>
      <c r="EX35" s="138"/>
      <c r="EY35" s="138">
        <v>1</v>
      </c>
      <c r="EZ35" s="138">
        <v>5330</v>
      </c>
      <c r="FA35" s="138">
        <v>2976</v>
      </c>
      <c r="FB35" s="138">
        <v>2354</v>
      </c>
      <c r="FC35" s="138">
        <v>420</v>
      </c>
      <c r="FD35" s="138">
        <v>5976</v>
      </c>
      <c r="FE35" s="138">
        <v>2973</v>
      </c>
      <c r="FF35" s="138">
        <v>3003</v>
      </c>
      <c r="FG35" s="138">
        <v>420</v>
      </c>
      <c r="FH35" s="138">
        <v>4473</v>
      </c>
      <c r="FI35" s="138">
        <v>1870</v>
      </c>
      <c r="FJ35" s="138">
        <v>2603</v>
      </c>
      <c r="FK35" s="138">
        <v>426</v>
      </c>
      <c r="FL35" s="147">
        <v>3504</v>
      </c>
      <c r="FM35" s="147">
        <v>3700.3205128205127</v>
      </c>
      <c r="FO35" s="181">
        <f t="shared" si="0"/>
        <v>320.2857142857143</v>
      </c>
      <c r="FP35" s="179">
        <f t="shared" si="1"/>
        <v>130.0388608549388</v>
      </c>
      <c r="FR35" s="184"/>
      <c r="FV35" s="184">
        <v>958</v>
      </c>
      <c r="FW35" s="2">
        <f t="shared" si="2"/>
        <v>-958</v>
      </c>
    </row>
    <row r="36" spans="1:179" ht="12.75">
      <c r="A36" s="82">
        <v>105</v>
      </c>
      <c r="B36" s="80" t="s">
        <v>34</v>
      </c>
      <c r="C36" s="191">
        <v>2672</v>
      </c>
      <c r="D36" s="146"/>
      <c r="E36" s="150">
        <v>0.030562347188264057</v>
      </c>
      <c r="F36" s="150">
        <v>24.4</v>
      </c>
      <c r="G36" s="151">
        <v>-1059</v>
      </c>
      <c r="H36" s="152"/>
      <c r="I36" s="152"/>
      <c r="J36" s="152"/>
      <c r="K36" s="150">
        <v>65.2</v>
      </c>
      <c r="L36" s="151">
        <v>418</v>
      </c>
      <c r="M36" s="151">
        <v>20</v>
      </c>
      <c r="N36" s="154">
        <v>7755.988023952095</v>
      </c>
      <c r="O36" s="146">
        <v>5019</v>
      </c>
      <c r="P36" s="139">
        <v>2300</v>
      </c>
      <c r="Q36" s="139">
        <v>19352</v>
      </c>
      <c r="R36" s="139">
        <v>-17052</v>
      </c>
      <c r="S36" s="146">
        <v>7092</v>
      </c>
      <c r="T36" s="139">
        <v>9959</v>
      </c>
      <c r="U36" s="160"/>
      <c r="W36" s="138">
        <v>-80</v>
      </c>
      <c r="X36" s="138">
        <v>22</v>
      </c>
      <c r="Y36" s="139">
        <v>-59</v>
      </c>
      <c r="Z36" s="138">
        <v>462</v>
      </c>
      <c r="AA36" s="139"/>
      <c r="AB36" s="139"/>
      <c r="AC36" s="139">
        <v>-521</v>
      </c>
      <c r="AD36" s="139">
        <v>78</v>
      </c>
      <c r="AE36" s="139"/>
      <c r="AG36" s="139">
        <v>-443</v>
      </c>
      <c r="AH36" s="139">
        <v>-1444</v>
      </c>
      <c r="AI36" s="139">
        <v>415</v>
      </c>
      <c r="AJ36" s="176"/>
      <c r="AK36" s="139">
        <v>-91</v>
      </c>
      <c r="AL36" s="151">
        <v>-734</v>
      </c>
      <c r="AM36" s="151">
        <v>-54</v>
      </c>
      <c r="AN36" s="146">
        <v>7092</v>
      </c>
      <c r="AO36" s="139">
        <v>5634</v>
      </c>
      <c r="AP36" s="139">
        <v>853</v>
      </c>
      <c r="AQ36" s="139">
        <v>605</v>
      </c>
      <c r="AR36" s="114">
        <v>20.25</v>
      </c>
      <c r="AS36" s="152"/>
      <c r="AT36" s="138">
        <v>291</v>
      </c>
      <c r="AU36" s="191">
        <v>2603</v>
      </c>
      <c r="AV36" s="146"/>
      <c r="AW36" s="150">
        <v>0.37721518987341773</v>
      </c>
      <c r="AX36" s="150">
        <v>40</v>
      </c>
      <c r="AY36" s="151">
        <v>-2024</v>
      </c>
      <c r="AZ36" s="152"/>
      <c r="BA36" s="152"/>
      <c r="BB36" s="152"/>
      <c r="BC36" s="150">
        <v>54.8</v>
      </c>
      <c r="BD36" s="151">
        <v>668</v>
      </c>
      <c r="BE36" s="151">
        <v>27</v>
      </c>
      <c r="BF36" s="154">
        <v>9058.009988474836</v>
      </c>
      <c r="BG36" s="146">
        <v>5123</v>
      </c>
      <c r="BH36" s="139">
        <v>2398</v>
      </c>
      <c r="BI36" s="139">
        <v>19590</v>
      </c>
      <c r="BJ36" s="139">
        <v>-17192</v>
      </c>
      <c r="BK36" s="146">
        <v>6932</v>
      </c>
      <c r="BL36" s="146">
        <v>10531</v>
      </c>
      <c r="BM36" s="160"/>
      <c r="BO36" s="138">
        <v>-73</v>
      </c>
      <c r="BP36" s="138">
        <v>24</v>
      </c>
      <c r="BQ36" s="139">
        <v>222</v>
      </c>
      <c r="BR36" s="138">
        <v>459</v>
      </c>
      <c r="BS36" s="139"/>
      <c r="BT36" s="139"/>
      <c r="BU36" s="139">
        <v>-237</v>
      </c>
      <c r="BV36" s="139">
        <v>78</v>
      </c>
      <c r="BW36" s="139"/>
      <c r="BY36" s="138">
        <v>-159</v>
      </c>
      <c r="BZ36" s="139">
        <v>-1604</v>
      </c>
      <c r="CA36" s="139">
        <v>-277</v>
      </c>
      <c r="CB36" s="176"/>
      <c r="CC36" s="139">
        <v>-165</v>
      </c>
      <c r="CD36" s="151">
        <v>-714</v>
      </c>
      <c r="CE36" s="151">
        <v>-2439</v>
      </c>
      <c r="CF36" s="138">
        <v>6932</v>
      </c>
      <c r="CG36" s="139">
        <v>5843</v>
      </c>
      <c r="CH36" s="139">
        <v>471</v>
      </c>
      <c r="CI36" s="139">
        <v>618</v>
      </c>
      <c r="CJ36" s="114">
        <v>20.25</v>
      </c>
      <c r="CK36" s="152"/>
      <c r="CL36" s="138">
        <v>202</v>
      </c>
      <c r="CM36" s="190">
        <v>2565</v>
      </c>
      <c r="CN36" s="146"/>
      <c r="CO36" s="150">
        <v>0.04273084479371316</v>
      </c>
      <c r="CP36" s="150">
        <v>41.52198929304048</v>
      </c>
      <c r="CQ36" s="151">
        <v>-2367.6413255360626</v>
      </c>
      <c r="CR36" s="152"/>
      <c r="CS36" s="152"/>
      <c r="CT36" s="152"/>
      <c r="CU36" s="150">
        <v>52.61236595938855</v>
      </c>
      <c r="CV36" s="151">
        <v>279.92202729044834</v>
      </c>
      <c r="CW36" s="151">
        <v>11.141010925477191</v>
      </c>
      <c r="CX36" s="154">
        <v>9170.760233918129</v>
      </c>
      <c r="CY36" s="146">
        <v>4884</v>
      </c>
      <c r="CZ36" s="139">
        <v>2502</v>
      </c>
      <c r="DA36" s="139">
        <v>19945</v>
      </c>
      <c r="DB36" s="139">
        <v>-17443</v>
      </c>
      <c r="DC36" s="146">
        <v>7425</v>
      </c>
      <c r="DD36" s="146">
        <v>10060</v>
      </c>
      <c r="DE36" s="160"/>
      <c r="DG36" s="138">
        <v>-69</v>
      </c>
      <c r="DH36" s="138">
        <v>42</v>
      </c>
      <c r="DI36" s="139">
        <v>15</v>
      </c>
      <c r="DJ36" s="138">
        <v>447</v>
      </c>
      <c r="DK36" s="139"/>
      <c r="DL36" s="139"/>
      <c r="DM36" s="139">
        <v>-432</v>
      </c>
      <c r="DN36" s="139">
        <v>77</v>
      </c>
      <c r="DO36" s="139"/>
      <c r="DQ36" s="138">
        <v>-355</v>
      </c>
      <c r="DR36" s="139">
        <v>-1959</v>
      </c>
      <c r="DS36" s="139">
        <v>-8</v>
      </c>
      <c r="DT36" s="176"/>
      <c r="DU36" s="139">
        <v>-572</v>
      </c>
      <c r="DV36" s="151">
        <v>-1964</v>
      </c>
      <c r="DW36" s="138">
        <v>-803</v>
      </c>
      <c r="DX36" s="138">
        <v>7425</v>
      </c>
      <c r="DY36" s="146">
        <v>6156</v>
      </c>
      <c r="DZ36" s="196">
        <v>578</v>
      </c>
      <c r="EA36" s="146">
        <v>691</v>
      </c>
      <c r="EB36" s="114">
        <v>21</v>
      </c>
      <c r="EC36" s="152"/>
      <c r="ED36" s="138">
        <v>274</v>
      </c>
      <c r="EE36" s="138">
        <v>12145</v>
      </c>
      <c r="EF36" s="138">
        <v>12366</v>
      </c>
      <c r="EG36" s="138">
        <v>13447</v>
      </c>
      <c r="EH36" s="138"/>
      <c r="EI36" s="138">
        <v>350</v>
      </c>
      <c r="EJ36" s="138"/>
      <c r="EK36" s="3">
        <v>-552</v>
      </c>
      <c r="EL36" s="138">
        <v>68</v>
      </c>
      <c r="EM36" s="138">
        <v>15</v>
      </c>
      <c r="EN36" s="3">
        <v>-3197</v>
      </c>
      <c r="EO36" s="138">
        <v>1016</v>
      </c>
      <c r="EP36" s="138">
        <v>19</v>
      </c>
      <c r="EQ36" s="3">
        <v>-1538</v>
      </c>
      <c r="ER36" s="138">
        <v>180</v>
      </c>
      <c r="ES36" s="138">
        <v>563</v>
      </c>
      <c r="ET36" s="163">
        <v>500</v>
      </c>
      <c r="EU36" s="163">
        <v>500</v>
      </c>
      <c r="EV36" s="138">
        <v>3140</v>
      </c>
      <c r="EW36" s="138">
        <v>200</v>
      </c>
      <c r="EX36" s="138">
        <v>920</v>
      </c>
      <c r="EY36" s="138">
        <v>1900</v>
      </c>
      <c r="EZ36" s="138">
        <v>3553</v>
      </c>
      <c r="FA36" s="138">
        <v>1839</v>
      </c>
      <c r="FB36" s="138">
        <v>1714</v>
      </c>
      <c r="FC36" s="138">
        <v>0</v>
      </c>
      <c r="FD36" s="138">
        <v>6180</v>
      </c>
      <c r="FE36" s="138">
        <v>4216</v>
      </c>
      <c r="FF36" s="138">
        <v>1964</v>
      </c>
      <c r="FG36" s="138">
        <v>0</v>
      </c>
      <c r="FH36" s="138">
        <v>7036</v>
      </c>
      <c r="FI36" s="138">
        <v>4312</v>
      </c>
      <c r="FJ36" s="138">
        <v>2724</v>
      </c>
      <c r="FK36" s="138">
        <v>0</v>
      </c>
      <c r="FL36" s="147">
        <v>3853</v>
      </c>
      <c r="FM36" s="147">
        <v>4927.007299270073</v>
      </c>
      <c r="FO36" s="181">
        <f t="shared" si="0"/>
        <v>293.14285714285717</v>
      </c>
      <c r="FP36" s="179">
        <f t="shared" si="1"/>
        <v>114.28571428571429</v>
      </c>
      <c r="FR36" s="184"/>
      <c r="FV36" s="184">
        <v>734</v>
      </c>
      <c r="FW36" s="2">
        <f t="shared" si="2"/>
        <v>-734</v>
      </c>
    </row>
    <row r="37" spans="1:179" ht="12.75">
      <c r="A37" s="82">
        <v>106</v>
      </c>
      <c r="B37" s="80" t="s">
        <v>35</v>
      </c>
      <c r="C37" s="191">
        <v>45527</v>
      </c>
      <c r="D37" s="146"/>
      <c r="E37" s="150">
        <v>1.1907004830917873</v>
      </c>
      <c r="F37" s="150">
        <v>43.1</v>
      </c>
      <c r="G37" s="151">
        <v>-1950</v>
      </c>
      <c r="H37" s="152"/>
      <c r="I37" s="152"/>
      <c r="J37" s="152"/>
      <c r="K37" s="150">
        <v>61.9</v>
      </c>
      <c r="L37" s="151">
        <v>232</v>
      </c>
      <c r="M37" s="151">
        <v>13</v>
      </c>
      <c r="N37" s="154">
        <v>6298.943484086366</v>
      </c>
      <c r="O37" s="146">
        <v>115719</v>
      </c>
      <c r="P37" s="139">
        <v>53283</v>
      </c>
      <c r="Q37" s="139">
        <v>251822</v>
      </c>
      <c r="R37" s="139">
        <v>-198539</v>
      </c>
      <c r="S37" s="146">
        <v>169463</v>
      </c>
      <c r="T37" s="139">
        <v>47800</v>
      </c>
      <c r="U37" s="160"/>
      <c r="W37" s="138">
        <v>-1929</v>
      </c>
      <c r="X37" s="138">
        <v>806</v>
      </c>
      <c r="Y37" s="139">
        <v>17601</v>
      </c>
      <c r="Z37" s="138">
        <v>14281</v>
      </c>
      <c r="AC37" s="139">
        <v>3320</v>
      </c>
      <c r="AD37" s="139">
        <v>149</v>
      </c>
      <c r="AF37" s="138">
        <v>-250</v>
      </c>
      <c r="AG37" s="139">
        <v>3219</v>
      </c>
      <c r="AH37" s="139">
        <v>35602</v>
      </c>
      <c r="AI37" s="139">
        <v>9091</v>
      </c>
      <c r="AJ37" s="176"/>
      <c r="AK37" s="139">
        <v>-572</v>
      </c>
      <c r="AL37" s="151">
        <v>-14443</v>
      </c>
      <c r="AM37" s="151">
        <v>-3046</v>
      </c>
      <c r="AN37" s="146">
        <v>169463</v>
      </c>
      <c r="AO37" s="139">
        <v>148894</v>
      </c>
      <c r="AP37" s="139">
        <v>13604</v>
      </c>
      <c r="AQ37" s="139">
        <v>6965</v>
      </c>
      <c r="AR37" s="114">
        <v>19.25</v>
      </c>
      <c r="AS37" s="152"/>
      <c r="AT37" s="138">
        <v>80</v>
      </c>
      <c r="AU37" s="191">
        <v>45592</v>
      </c>
      <c r="AV37" s="146"/>
      <c r="AW37" s="150">
        <v>0.6364113601763872</v>
      </c>
      <c r="AX37" s="150">
        <v>49.2</v>
      </c>
      <c r="AY37" s="151">
        <v>-2357</v>
      </c>
      <c r="AZ37" s="152"/>
      <c r="BA37" s="152"/>
      <c r="BB37" s="152"/>
      <c r="BC37" s="150">
        <v>57.8</v>
      </c>
      <c r="BD37" s="151">
        <v>180</v>
      </c>
      <c r="BE37" s="151">
        <v>10</v>
      </c>
      <c r="BF37" s="154">
        <v>6837.71275662397</v>
      </c>
      <c r="BG37" s="146">
        <v>121547</v>
      </c>
      <c r="BH37" s="139">
        <v>52877</v>
      </c>
      <c r="BI37" s="139">
        <v>265264</v>
      </c>
      <c r="BJ37" s="139">
        <v>-212387</v>
      </c>
      <c r="BK37" s="146">
        <v>173340</v>
      </c>
      <c r="BL37" s="146">
        <v>50359</v>
      </c>
      <c r="BM37" s="160"/>
      <c r="BO37" s="138">
        <v>-1974</v>
      </c>
      <c r="BP37" s="138">
        <v>708</v>
      </c>
      <c r="BQ37" s="139">
        <v>10046</v>
      </c>
      <c r="BR37" s="138">
        <v>14258</v>
      </c>
      <c r="BU37" s="139">
        <v>-4212</v>
      </c>
      <c r="BV37" s="139"/>
      <c r="BY37" s="138">
        <v>-4212</v>
      </c>
      <c r="BZ37" s="139">
        <v>31390</v>
      </c>
      <c r="CA37" s="139">
        <v>3680</v>
      </c>
      <c r="CB37" s="176"/>
      <c r="CC37" s="139">
        <v>-2318</v>
      </c>
      <c r="CD37" s="151">
        <v>-16972</v>
      </c>
      <c r="CE37" s="151">
        <v>-19007</v>
      </c>
      <c r="CF37" s="138">
        <v>173340</v>
      </c>
      <c r="CG37" s="139">
        <v>153534</v>
      </c>
      <c r="CH37" s="139">
        <v>11179</v>
      </c>
      <c r="CI37" s="139">
        <v>8627</v>
      </c>
      <c r="CJ37" s="114">
        <v>19.25</v>
      </c>
      <c r="CK37" s="152"/>
      <c r="CL37" s="138">
        <v>102</v>
      </c>
      <c r="CM37" s="190">
        <v>46188</v>
      </c>
      <c r="CN37" s="146"/>
      <c r="CO37" s="150">
        <v>0.8660933660933661</v>
      </c>
      <c r="CP37" s="150">
        <v>51.957101267462555</v>
      </c>
      <c r="CQ37" s="151">
        <v>-2455.1182125227333</v>
      </c>
      <c r="CR37" s="152"/>
      <c r="CS37" s="152"/>
      <c r="CT37" s="152"/>
      <c r="CU37" s="150">
        <v>54.57560929707349</v>
      </c>
      <c r="CV37" s="151">
        <v>442.301030570711</v>
      </c>
      <c r="CW37" s="151">
        <v>23.171488502175265</v>
      </c>
      <c r="CX37" s="154">
        <v>6967.177621893132</v>
      </c>
      <c r="CY37" s="146">
        <v>127093</v>
      </c>
      <c r="CZ37" s="139">
        <v>60301</v>
      </c>
      <c r="DA37" s="139">
        <v>283957</v>
      </c>
      <c r="DB37" s="139">
        <v>-223656</v>
      </c>
      <c r="DC37" s="146">
        <v>191585</v>
      </c>
      <c r="DD37" s="146">
        <v>49692</v>
      </c>
      <c r="DE37" s="160"/>
      <c r="DG37" s="138">
        <v>-2074</v>
      </c>
      <c r="DH37" s="138">
        <v>551</v>
      </c>
      <c r="DI37" s="139">
        <v>16098</v>
      </c>
      <c r="DJ37" s="138">
        <v>16276</v>
      </c>
      <c r="DM37" s="139">
        <v>-178</v>
      </c>
      <c r="DN37" s="139"/>
      <c r="DQ37" s="138">
        <v>-178</v>
      </c>
      <c r="DR37" s="139">
        <v>31211</v>
      </c>
      <c r="DS37" s="139">
        <v>11989</v>
      </c>
      <c r="DT37" s="176"/>
      <c r="DU37" s="139">
        <v>-500</v>
      </c>
      <c r="DV37" s="151">
        <v>-18931</v>
      </c>
      <c r="DW37" s="138">
        <v>-6220</v>
      </c>
      <c r="DX37" s="138">
        <v>191585</v>
      </c>
      <c r="DY37" s="146">
        <v>164820</v>
      </c>
      <c r="DZ37" s="196">
        <v>17617</v>
      </c>
      <c r="EA37" s="146">
        <v>9148</v>
      </c>
      <c r="EB37" s="114">
        <v>19.25</v>
      </c>
      <c r="EC37" s="152"/>
      <c r="ED37" s="138">
        <v>113</v>
      </c>
      <c r="EE37" s="138">
        <v>98816</v>
      </c>
      <c r="EF37" s="138">
        <v>104223</v>
      </c>
      <c r="EG37" s="138">
        <v>115315</v>
      </c>
      <c r="EH37" s="138"/>
      <c r="EI37" s="138"/>
      <c r="EJ37" s="138"/>
      <c r="EK37" s="3">
        <v>-22090</v>
      </c>
      <c r="EL37" s="138">
        <v>1083</v>
      </c>
      <c r="EM37" s="138">
        <v>8870</v>
      </c>
      <c r="EN37" s="3">
        <v>-31798</v>
      </c>
      <c r="EO37" s="138">
        <v>2229</v>
      </c>
      <c r="EP37" s="138">
        <v>6882</v>
      </c>
      <c r="EQ37" s="3">
        <v>-24824</v>
      </c>
      <c r="ER37" s="138">
        <v>1628</v>
      </c>
      <c r="ES37" s="138">
        <v>4987</v>
      </c>
      <c r="ET37" s="163">
        <v>15000</v>
      </c>
      <c r="EU37" s="163">
        <v>8000</v>
      </c>
      <c r="EV37" s="138">
        <v>40000</v>
      </c>
      <c r="EW37" s="138">
        <v>-8000</v>
      </c>
      <c r="EX37" s="138">
        <v>35000</v>
      </c>
      <c r="EY37" s="138"/>
      <c r="EZ37" s="138">
        <v>80183</v>
      </c>
      <c r="FA37" s="138">
        <v>55925</v>
      </c>
      <c r="FB37" s="138">
        <v>24258</v>
      </c>
      <c r="FC37" s="138">
        <v>3364</v>
      </c>
      <c r="FD37" s="138">
        <v>95212</v>
      </c>
      <c r="FE37" s="138">
        <v>76697</v>
      </c>
      <c r="FF37" s="138">
        <v>18515</v>
      </c>
      <c r="FG37" s="138">
        <v>3364</v>
      </c>
      <c r="FH37" s="138">
        <v>111283</v>
      </c>
      <c r="FI37" s="138">
        <v>94429</v>
      </c>
      <c r="FJ37" s="138">
        <v>16854</v>
      </c>
      <c r="FK37" s="138">
        <v>3364</v>
      </c>
      <c r="FL37" s="147">
        <v>3693</v>
      </c>
      <c r="FM37" s="147">
        <v>3942.643446218635</v>
      </c>
      <c r="FO37" s="181">
        <f t="shared" si="0"/>
        <v>8562.077922077922</v>
      </c>
      <c r="FP37" s="179">
        <f t="shared" si="1"/>
        <v>185.37451117342</v>
      </c>
      <c r="FR37" s="184"/>
      <c r="FV37" s="184">
        <v>14443</v>
      </c>
      <c r="FW37" s="2">
        <f t="shared" si="2"/>
        <v>-14443</v>
      </c>
    </row>
    <row r="38" spans="1:179" ht="12.75">
      <c r="A38" s="82">
        <v>283</v>
      </c>
      <c r="B38" s="80" t="s">
        <v>101</v>
      </c>
      <c r="C38" s="191">
        <v>2130</v>
      </c>
      <c r="D38" s="146"/>
      <c r="E38" s="150">
        <v>0.6947236180904522</v>
      </c>
      <c r="F38" s="150">
        <v>110.6</v>
      </c>
      <c r="G38" s="151">
        <v>-4655</v>
      </c>
      <c r="H38" s="152"/>
      <c r="I38" s="152"/>
      <c r="J38" s="152"/>
      <c r="K38" s="150">
        <v>31.1</v>
      </c>
      <c r="L38" s="151">
        <v>275</v>
      </c>
      <c r="M38" s="151">
        <v>12</v>
      </c>
      <c r="N38" s="154">
        <v>13729.577464788732</v>
      </c>
      <c r="O38" s="146">
        <v>2604</v>
      </c>
      <c r="P38" s="139">
        <v>1012</v>
      </c>
      <c r="Q38" s="139">
        <v>11473</v>
      </c>
      <c r="R38" s="139">
        <v>-10461</v>
      </c>
      <c r="S38" s="146">
        <v>5867</v>
      </c>
      <c r="T38" s="139">
        <v>4458</v>
      </c>
      <c r="U38" s="160"/>
      <c r="W38" s="138">
        <v>-191</v>
      </c>
      <c r="X38" s="138">
        <v>358</v>
      </c>
      <c r="Y38" s="139">
        <v>31</v>
      </c>
      <c r="Z38" s="138">
        <v>390</v>
      </c>
      <c r="AC38" s="139">
        <v>-359</v>
      </c>
      <c r="AG38" s="139">
        <v>-359</v>
      </c>
      <c r="AH38" s="139">
        <v>1876</v>
      </c>
      <c r="AI38" s="139">
        <v>-61</v>
      </c>
      <c r="AJ38" s="176"/>
      <c r="AK38" s="138">
        <v>-1531</v>
      </c>
      <c r="AL38" s="151">
        <v>-517</v>
      </c>
      <c r="AM38" s="151">
        <v>-3718</v>
      </c>
      <c r="AN38" s="146">
        <v>5867</v>
      </c>
      <c r="AO38" s="139">
        <v>5220</v>
      </c>
      <c r="AP38" s="139">
        <v>346</v>
      </c>
      <c r="AQ38" s="139">
        <v>301</v>
      </c>
      <c r="AR38" s="114">
        <v>20.5</v>
      </c>
      <c r="AS38" s="152"/>
      <c r="AT38" s="138">
        <v>279</v>
      </c>
      <c r="AU38" s="191">
        <v>2096</v>
      </c>
      <c r="AV38" s="146"/>
      <c r="AW38" s="150">
        <v>0.3060668029993183</v>
      </c>
      <c r="AX38" s="150">
        <v>100.7</v>
      </c>
      <c r="AY38" s="151">
        <v>-4998</v>
      </c>
      <c r="AZ38" s="152"/>
      <c r="BA38" s="152"/>
      <c r="BB38" s="152"/>
      <c r="BC38" s="150">
        <v>29.6</v>
      </c>
      <c r="BD38" s="151">
        <v>135</v>
      </c>
      <c r="BE38" s="151">
        <v>7</v>
      </c>
      <c r="BF38" s="154">
        <v>7357.347328244276</v>
      </c>
      <c r="BG38" s="146">
        <v>2772</v>
      </c>
      <c r="BH38" s="139">
        <v>1294</v>
      </c>
      <c r="BI38" s="139">
        <v>12224</v>
      </c>
      <c r="BJ38" s="139">
        <v>-10930</v>
      </c>
      <c r="BK38" s="146">
        <v>6266</v>
      </c>
      <c r="BL38" s="146">
        <v>4759</v>
      </c>
      <c r="BM38" s="160"/>
      <c r="BO38" s="138">
        <v>-254</v>
      </c>
      <c r="BP38" s="138">
        <v>352</v>
      </c>
      <c r="BQ38" s="139">
        <v>193</v>
      </c>
      <c r="BR38" s="138">
        <v>599</v>
      </c>
      <c r="BU38" s="139">
        <v>-406</v>
      </c>
      <c r="BY38" s="138">
        <v>-406</v>
      </c>
      <c r="BZ38" s="139">
        <v>1472</v>
      </c>
      <c r="CA38" s="139">
        <v>25</v>
      </c>
      <c r="CB38" s="176"/>
      <c r="CC38" s="138">
        <v>435</v>
      </c>
      <c r="CD38" s="151">
        <v>-1211</v>
      </c>
      <c r="CE38" s="151">
        <v>-806</v>
      </c>
      <c r="CF38" s="138">
        <v>6266</v>
      </c>
      <c r="CG38" s="139">
        <v>5739</v>
      </c>
      <c r="CH38" s="139">
        <v>221</v>
      </c>
      <c r="CI38" s="139">
        <v>306</v>
      </c>
      <c r="CJ38" s="114">
        <v>21.5</v>
      </c>
      <c r="CK38" s="152"/>
      <c r="CL38" s="138">
        <v>195</v>
      </c>
      <c r="CM38" s="190">
        <v>2086</v>
      </c>
      <c r="CN38" s="146"/>
      <c r="CO38" s="150">
        <v>1.1267962806424345</v>
      </c>
      <c r="CP38" s="150">
        <v>88.37978271138404</v>
      </c>
      <c r="CQ38" s="151">
        <v>-4576.7018216682645</v>
      </c>
      <c r="CR38" s="152"/>
      <c r="CS38" s="152"/>
      <c r="CT38" s="152"/>
      <c r="CU38" s="150">
        <v>33.837705205351405</v>
      </c>
      <c r="CV38" s="151">
        <v>106.42377756471716</v>
      </c>
      <c r="CW38" s="151">
        <v>6.035754189944135</v>
      </c>
      <c r="CX38" s="154">
        <v>6435.7622243528285</v>
      </c>
      <c r="CY38" s="146">
        <v>2662</v>
      </c>
      <c r="CZ38" s="139">
        <v>1226</v>
      </c>
      <c r="DA38" s="139">
        <v>11905</v>
      </c>
      <c r="DB38" s="139">
        <v>-10679</v>
      </c>
      <c r="DC38" s="146">
        <v>6499</v>
      </c>
      <c r="DD38" s="146">
        <v>4977</v>
      </c>
      <c r="DE38" s="160"/>
      <c r="DG38" s="138">
        <v>-209</v>
      </c>
      <c r="DH38" s="138">
        <v>535</v>
      </c>
      <c r="DI38" s="139">
        <v>1123</v>
      </c>
      <c r="DJ38" s="138">
        <v>597</v>
      </c>
      <c r="DM38" s="139">
        <v>526</v>
      </c>
      <c r="DQ38" s="138">
        <v>526</v>
      </c>
      <c r="DR38" s="139">
        <v>1997</v>
      </c>
      <c r="DS38" s="139">
        <v>1089</v>
      </c>
      <c r="DT38" s="176"/>
      <c r="DU38" s="138">
        <v>193</v>
      </c>
      <c r="DV38" s="151">
        <v>-973</v>
      </c>
      <c r="DW38" s="138">
        <v>914</v>
      </c>
      <c r="DX38" s="138">
        <v>6499</v>
      </c>
      <c r="DY38" s="146">
        <v>5937</v>
      </c>
      <c r="DZ38" s="196">
        <v>241</v>
      </c>
      <c r="EA38" s="146">
        <v>321</v>
      </c>
      <c r="EB38" s="114">
        <v>21.5</v>
      </c>
      <c r="EC38" s="152"/>
      <c r="ED38" s="138">
        <v>47</v>
      </c>
      <c r="EE38" s="138">
        <v>8145</v>
      </c>
      <c r="EF38" s="138">
        <v>8704</v>
      </c>
      <c r="EG38" s="138">
        <v>8350</v>
      </c>
      <c r="EH38" s="138"/>
      <c r="EI38" s="138"/>
      <c r="EJ38" s="138"/>
      <c r="EK38" s="3">
        <v>-5474</v>
      </c>
      <c r="EL38" s="138">
        <v>1623</v>
      </c>
      <c r="EM38" s="138">
        <v>194</v>
      </c>
      <c r="EN38" s="3">
        <v>-1727</v>
      </c>
      <c r="EO38" s="138">
        <v>596</v>
      </c>
      <c r="EP38" s="138">
        <v>300</v>
      </c>
      <c r="EQ38" s="3">
        <v>-236</v>
      </c>
      <c r="ER38" s="138">
        <v>4</v>
      </c>
      <c r="ES38" s="138">
        <v>57</v>
      </c>
      <c r="ET38" s="163">
        <v>5000</v>
      </c>
      <c r="EU38" s="163"/>
      <c r="EV38" s="138">
        <v>1482</v>
      </c>
      <c r="EW38" s="138">
        <v>200</v>
      </c>
      <c r="EX38" s="138"/>
      <c r="EY38" s="138">
        <v>-200</v>
      </c>
      <c r="EZ38" s="138">
        <v>10403</v>
      </c>
      <c r="FA38" s="138">
        <v>9197</v>
      </c>
      <c r="FB38" s="138">
        <v>1206</v>
      </c>
      <c r="FC38" s="138">
        <v>1151</v>
      </c>
      <c r="FD38" s="138">
        <v>10872</v>
      </c>
      <c r="FE38" s="138">
        <v>9449</v>
      </c>
      <c r="FF38" s="138">
        <v>1423</v>
      </c>
      <c r="FG38" s="138">
        <v>954</v>
      </c>
      <c r="FH38" s="138">
        <v>9699</v>
      </c>
      <c r="FI38" s="138">
        <v>9000</v>
      </c>
      <c r="FJ38" s="138">
        <v>699</v>
      </c>
      <c r="FK38" s="138">
        <v>954</v>
      </c>
      <c r="FL38" s="147">
        <v>5159</v>
      </c>
      <c r="FM38" s="147">
        <v>5452.767175572519</v>
      </c>
      <c r="FO38" s="181">
        <f t="shared" si="0"/>
        <v>276.13953488372096</v>
      </c>
      <c r="FP38" s="179">
        <f t="shared" si="1"/>
        <v>132.37753350130438</v>
      </c>
      <c r="FR38" s="184"/>
      <c r="FV38" s="184">
        <v>517</v>
      </c>
      <c r="FW38" s="2">
        <f t="shared" si="2"/>
        <v>-517</v>
      </c>
    </row>
    <row r="39" spans="1:179" ht="12.75">
      <c r="A39" s="82">
        <v>108</v>
      </c>
      <c r="B39" s="80" t="s">
        <v>36</v>
      </c>
      <c r="C39" s="191">
        <v>10533</v>
      </c>
      <c r="D39" s="146"/>
      <c r="E39" s="150">
        <v>2.80794701986755</v>
      </c>
      <c r="F39" s="150">
        <v>28.1</v>
      </c>
      <c r="G39" s="151">
        <v>-477</v>
      </c>
      <c r="H39" s="152"/>
      <c r="I39" s="152"/>
      <c r="J39" s="152"/>
      <c r="K39" s="150">
        <v>69.4</v>
      </c>
      <c r="L39" s="151">
        <v>538</v>
      </c>
      <c r="M39" s="151">
        <v>32</v>
      </c>
      <c r="N39" s="154">
        <v>6123.7064464065315</v>
      </c>
      <c r="O39" s="146">
        <v>29347</v>
      </c>
      <c r="P39" s="139">
        <v>9092</v>
      </c>
      <c r="Q39" s="139">
        <v>58216</v>
      </c>
      <c r="R39" s="139">
        <v>-49124</v>
      </c>
      <c r="S39" s="146">
        <v>30877</v>
      </c>
      <c r="T39" s="139">
        <v>20429</v>
      </c>
      <c r="U39" s="160"/>
      <c r="W39" s="138">
        <v>-144</v>
      </c>
      <c r="X39" s="138">
        <v>304</v>
      </c>
      <c r="Y39" s="139">
        <v>2342</v>
      </c>
      <c r="Z39" s="138">
        <v>1727</v>
      </c>
      <c r="AA39" s="139"/>
      <c r="AC39" s="139">
        <v>615</v>
      </c>
      <c r="AD39" s="139">
        <v>77</v>
      </c>
      <c r="AG39" s="139">
        <v>692</v>
      </c>
      <c r="AH39" s="139">
        <v>5894</v>
      </c>
      <c r="AI39" s="139">
        <v>2123</v>
      </c>
      <c r="AJ39" s="176"/>
      <c r="AK39" s="138">
        <v>-908</v>
      </c>
      <c r="AL39" s="151">
        <v>-704</v>
      </c>
      <c r="AM39" s="151">
        <v>-3093</v>
      </c>
      <c r="AN39" s="146">
        <v>30877</v>
      </c>
      <c r="AO39" s="139">
        <v>27786</v>
      </c>
      <c r="AP39" s="139">
        <v>1261</v>
      </c>
      <c r="AQ39" s="139">
        <v>1830</v>
      </c>
      <c r="AR39" s="114">
        <v>20</v>
      </c>
      <c r="AS39" s="152"/>
      <c r="AT39" s="138">
        <v>186</v>
      </c>
      <c r="AU39" s="191">
        <v>10500</v>
      </c>
      <c r="AV39" s="146"/>
      <c r="AW39" s="150">
        <v>-0.1391880695940348</v>
      </c>
      <c r="AX39" s="150">
        <v>34.6</v>
      </c>
      <c r="AY39" s="151">
        <v>-919</v>
      </c>
      <c r="AZ39" s="152"/>
      <c r="BA39" s="152"/>
      <c r="BB39" s="152"/>
      <c r="BC39" s="150">
        <v>62</v>
      </c>
      <c r="BD39" s="151">
        <v>693</v>
      </c>
      <c r="BE39" s="151">
        <v>38</v>
      </c>
      <c r="BF39" s="154">
        <v>6632.285714285715</v>
      </c>
      <c r="BG39" s="146">
        <v>31462</v>
      </c>
      <c r="BH39" s="139">
        <v>9936</v>
      </c>
      <c r="BI39" s="139">
        <v>63643</v>
      </c>
      <c r="BJ39" s="139">
        <v>-53707</v>
      </c>
      <c r="BK39" s="146">
        <v>31964</v>
      </c>
      <c r="BL39" s="146">
        <v>21185</v>
      </c>
      <c r="BM39" s="160"/>
      <c r="BO39" s="138">
        <v>-183</v>
      </c>
      <c r="BP39" s="138">
        <v>320</v>
      </c>
      <c r="BQ39" s="139">
        <v>-421</v>
      </c>
      <c r="BR39" s="138">
        <v>2088</v>
      </c>
      <c r="BS39" s="139">
        <v>130</v>
      </c>
      <c r="BU39" s="139">
        <v>-2379</v>
      </c>
      <c r="BV39" s="139">
        <v>77</v>
      </c>
      <c r="BY39" s="138">
        <v>-2302</v>
      </c>
      <c r="BZ39" s="139">
        <v>2781</v>
      </c>
      <c r="CA39" s="139">
        <v>-468</v>
      </c>
      <c r="CB39" s="176"/>
      <c r="CC39" s="138">
        <v>1432</v>
      </c>
      <c r="CD39" s="151">
        <v>-954</v>
      </c>
      <c r="CE39" s="151">
        <v>-4861</v>
      </c>
      <c r="CF39" s="138">
        <v>31964</v>
      </c>
      <c r="CG39" s="139">
        <v>29179</v>
      </c>
      <c r="CH39" s="139">
        <v>785</v>
      </c>
      <c r="CI39" s="139">
        <v>2000</v>
      </c>
      <c r="CJ39" s="114">
        <v>20</v>
      </c>
      <c r="CK39" s="152"/>
      <c r="CL39" s="138">
        <v>264</v>
      </c>
      <c r="CM39" s="190">
        <v>10582</v>
      </c>
      <c r="CN39" s="146"/>
      <c r="CO39" s="150">
        <v>1.028677150786309</v>
      </c>
      <c r="CP39" s="150">
        <v>37.097314414469274</v>
      </c>
      <c r="CQ39" s="151">
        <v>-1151.2001512001514</v>
      </c>
      <c r="CR39" s="152"/>
      <c r="CS39" s="152"/>
      <c r="CT39" s="152"/>
      <c r="CU39" s="150">
        <v>59.089477261800155</v>
      </c>
      <c r="CV39" s="151">
        <v>741.3532413532413</v>
      </c>
      <c r="CW39" s="151">
        <v>40.06527305545062</v>
      </c>
      <c r="CX39" s="154">
        <v>6753.827253827254</v>
      </c>
      <c r="CY39" s="146">
        <v>31486</v>
      </c>
      <c r="CZ39" s="139">
        <v>10803</v>
      </c>
      <c r="DA39" s="139">
        <v>63932</v>
      </c>
      <c r="DB39" s="139">
        <v>-53129</v>
      </c>
      <c r="DC39" s="146">
        <v>33642</v>
      </c>
      <c r="DD39" s="146">
        <v>21341</v>
      </c>
      <c r="DE39" s="160"/>
      <c r="DG39" s="138">
        <v>-104</v>
      </c>
      <c r="DH39" s="138">
        <v>148</v>
      </c>
      <c r="DI39" s="139">
        <v>1898</v>
      </c>
      <c r="DJ39" s="138">
        <v>2332</v>
      </c>
      <c r="DK39" s="139"/>
      <c r="DM39" s="139">
        <v>-434</v>
      </c>
      <c r="DN39" s="139">
        <v>77</v>
      </c>
      <c r="DQ39" s="138">
        <v>-357</v>
      </c>
      <c r="DR39" s="139">
        <v>2424</v>
      </c>
      <c r="DS39" s="139">
        <v>1750</v>
      </c>
      <c r="DT39" s="176"/>
      <c r="DU39" s="138">
        <v>484</v>
      </c>
      <c r="DV39" s="151">
        <v>-1836</v>
      </c>
      <c r="DW39" s="138">
        <v>-3056</v>
      </c>
      <c r="DX39" s="138">
        <v>33642</v>
      </c>
      <c r="DY39" s="146">
        <v>30792</v>
      </c>
      <c r="DZ39" s="196">
        <v>835</v>
      </c>
      <c r="EA39" s="146">
        <v>2015</v>
      </c>
      <c r="EB39" s="114">
        <v>20</v>
      </c>
      <c r="EC39" s="152"/>
      <c r="ED39" s="138">
        <v>214</v>
      </c>
      <c r="EE39" s="138">
        <v>21633</v>
      </c>
      <c r="EF39" s="138">
        <v>24546</v>
      </c>
      <c r="EG39" s="138">
        <v>24680</v>
      </c>
      <c r="EH39" s="138"/>
      <c r="EI39" s="138"/>
      <c r="EJ39" s="138"/>
      <c r="EK39" s="3">
        <v>-6139</v>
      </c>
      <c r="EL39" s="138">
        <v>554</v>
      </c>
      <c r="EM39" s="138">
        <v>369</v>
      </c>
      <c r="EN39" s="3">
        <v>-4700</v>
      </c>
      <c r="EO39" s="138"/>
      <c r="EP39" s="138">
        <v>307</v>
      </c>
      <c r="EQ39" s="3">
        <v>-5022</v>
      </c>
      <c r="ES39" s="138">
        <v>216</v>
      </c>
      <c r="ET39" s="163"/>
      <c r="EU39" s="163">
        <v>1000</v>
      </c>
      <c r="EV39" s="138">
        <v>4500</v>
      </c>
      <c r="EW39" s="138">
        <v>-500</v>
      </c>
      <c r="EX39" s="138">
        <v>6000</v>
      </c>
      <c r="EY39" s="138">
        <v>632</v>
      </c>
      <c r="EZ39" s="138">
        <v>8468</v>
      </c>
      <c r="FA39" s="138">
        <v>6764</v>
      </c>
      <c r="FB39" s="138">
        <v>1704</v>
      </c>
      <c r="FC39" s="138">
        <v>1484</v>
      </c>
      <c r="FD39" s="138">
        <v>11514</v>
      </c>
      <c r="FE39" s="138">
        <v>10310</v>
      </c>
      <c r="FF39" s="138">
        <v>1204</v>
      </c>
      <c r="FG39" s="138">
        <v>1352</v>
      </c>
      <c r="FH39" s="138">
        <v>16310</v>
      </c>
      <c r="FI39" s="138">
        <v>14474</v>
      </c>
      <c r="FJ39" s="138">
        <v>1836</v>
      </c>
      <c r="FK39" s="138">
        <v>664</v>
      </c>
      <c r="FL39" s="147">
        <v>2104</v>
      </c>
      <c r="FM39" s="147">
        <v>2305.714285714286</v>
      </c>
      <c r="FO39" s="181">
        <f t="shared" si="0"/>
        <v>1539.6</v>
      </c>
      <c r="FP39" s="179">
        <f t="shared" si="1"/>
        <v>145.4923454923455</v>
      </c>
      <c r="FR39" s="184"/>
      <c r="FV39" s="184">
        <v>704</v>
      </c>
      <c r="FW39" s="2">
        <f t="shared" si="2"/>
        <v>-704</v>
      </c>
    </row>
    <row r="40" spans="1:179" ht="12.75">
      <c r="A40" s="82">
        <v>109</v>
      </c>
      <c r="B40" s="80" t="s">
        <v>37</v>
      </c>
      <c r="C40" s="191">
        <v>67270</v>
      </c>
      <c r="D40" s="146"/>
      <c r="E40" s="150">
        <v>0.23741853285637282</v>
      </c>
      <c r="F40" s="150">
        <v>55.2</v>
      </c>
      <c r="G40" s="151">
        <v>-1535</v>
      </c>
      <c r="H40" s="152"/>
      <c r="I40" s="152"/>
      <c r="J40" s="152"/>
      <c r="K40" s="150">
        <v>60.8</v>
      </c>
      <c r="L40" s="151">
        <v>1356</v>
      </c>
      <c r="M40" s="151">
        <v>69</v>
      </c>
      <c r="N40" s="154">
        <v>6025.598335067638</v>
      </c>
      <c r="O40" s="146">
        <v>151937</v>
      </c>
      <c r="P40" s="139">
        <v>80288</v>
      </c>
      <c r="Q40" s="139">
        <v>392531</v>
      </c>
      <c r="R40" s="139">
        <v>-312243</v>
      </c>
      <c r="S40" s="146">
        <v>225385</v>
      </c>
      <c r="T40" s="139">
        <v>91820</v>
      </c>
      <c r="U40" s="160"/>
      <c r="W40" s="138">
        <v>-1571</v>
      </c>
      <c r="X40" s="138">
        <v>1233</v>
      </c>
      <c r="Y40" s="139">
        <v>4624</v>
      </c>
      <c r="Z40" s="138">
        <v>14275</v>
      </c>
      <c r="AB40" s="139">
        <v>6807</v>
      </c>
      <c r="AC40" s="139">
        <v>-16458</v>
      </c>
      <c r="AD40" s="139">
        <v>-180</v>
      </c>
      <c r="AE40" s="139">
        <v>232</v>
      </c>
      <c r="AF40" s="139">
        <v>4196</v>
      </c>
      <c r="AG40" s="139">
        <v>-12210</v>
      </c>
      <c r="AH40" s="139">
        <v>-16774</v>
      </c>
      <c r="AI40" s="139">
        <v>-6900</v>
      </c>
      <c r="AJ40" s="176"/>
      <c r="AK40" s="139">
        <v>2586</v>
      </c>
      <c r="AL40" s="151">
        <v>-20186</v>
      </c>
      <c r="AM40" s="151">
        <v>-54204</v>
      </c>
      <c r="AN40" s="146">
        <v>225385</v>
      </c>
      <c r="AO40" s="139">
        <v>195019</v>
      </c>
      <c r="AP40" s="139">
        <v>17170</v>
      </c>
      <c r="AQ40" s="139">
        <v>13196</v>
      </c>
      <c r="AR40" s="114">
        <v>19</v>
      </c>
      <c r="AS40" s="152"/>
      <c r="AT40" s="138">
        <v>256</v>
      </c>
      <c r="AU40" s="191">
        <v>67497</v>
      </c>
      <c r="AV40" s="146"/>
      <c r="AW40" s="150">
        <v>0.31001232225634207</v>
      </c>
      <c r="AX40" s="150">
        <v>54.6</v>
      </c>
      <c r="AY40" s="151">
        <v>-1722</v>
      </c>
      <c r="AZ40" s="152"/>
      <c r="BA40" s="152"/>
      <c r="BB40" s="152"/>
      <c r="BC40" s="150">
        <v>59.7</v>
      </c>
      <c r="BD40" s="151">
        <v>1245</v>
      </c>
      <c r="BE40" s="151">
        <v>62</v>
      </c>
      <c r="BF40" s="154">
        <v>7307.95442760419</v>
      </c>
      <c r="BG40" s="146">
        <v>157913</v>
      </c>
      <c r="BH40" s="139">
        <v>82958</v>
      </c>
      <c r="BI40" s="139">
        <v>410095</v>
      </c>
      <c r="BJ40" s="139">
        <v>-327137</v>
      </c>
      <c r="BK40" s="146">
        <v>237372</v>
      </c>
      <c r="BL40" s="146">
        <v>97214</v>
      </c>
      <c r="BM40" s="160"/>
      <c r="BO40" s="138">
        <v>-2582</v>
      </c>
      <c r="BP40" s="138">
        <v>5744</v>
      </c>
      <c r="BQ40" s="139">
        <v>10611</v>
      </c>
      <c r="BR40" s="138">
        <v>14503</v>
      </c>
      <c r="BT40" s="139"/>
      <c r="BU40" s="139">
        <v>-3892</v>
      </c>
      <c r="BV40" s="139">
        <v>593</v>
      </c>
      <c r="BW40" s="139">
        <v>-511</v>
      </c>
      <c r="BX40" s="139">
        <v>215</v>
      </c>
      <c r="BY40" s="138">
        <v>-3595</v>
      </c>
      <c r="BZ40" s="139">
        <v>-20370</v>
      </c>
      <c r="CA40" s="139">
        <v>7549</v>
      </c>
      <c r="CB40" s="176"/>
      <c r="CC40" s="139">
        <v>-2698</v>
      </c>
      <c r="CD40" s="151">
        <v>-45888</v>
      </c>
      <c r="CE40" s="151">
        <v>-15107</v>
      </c>
      <c r="CF40" s="138">
        <v>237372</v>
      </c>
      <c r="CG40" s="139">
        <v>208681</v>
      </c>
      <c r="CH40" s="139">
        <v>11090</v>
      </c>
      <c r="CI40" s="139">
        <v>17601</v>
      </c>
      <c r="CJ40" s="114">
        <v>19.5</v>
      </c>
      <c r="CK40" s="152"/>
      <c r="CL40" s="138">
        <v>148</v>
      </c>
      <c r="CM40" s="190">
        <v>67806</v>
      </c>
      <c r="CN40" s="146"/>
      <c r="CO40" s="150">
        <v>0.9228417578599966</v>
      </c>
      <c r="CP40" s="150">
        <v>54.799992619653864</v>
      </c>
      <c r="CQ40" s="151">
        <v>-1748.104887473085</v>
      </c>
      <c r="CR40" s="152"/>
      <c r="CS40" s="152"/>
      <c r="CT40" s="152"/>
      <c r="CU40" s="150">
        <v>59.12896282067002</v>
      </c>
      <c r="CV40" s="151">
        <v>1397.3837123558387</v>
      </c>
      <c r="CW40" s="151">
        <v>73.6716293594867</v>
      </c>
      <c r="CX40" s="154">
        <v>6923.222133734478</v>
      </c>
      <c r="CY40" s="146">
        <v>154178</v>
      </c>
      <c r="CZ40" s="139">
        <v>93869</v>
      </c>
      <c r="DA40" s="139">
        <v>421598</v>
      </c>
      <c r="DB40" s="139">
        <v>-327729</v>
      </c>
      <c r="DC40" s="146">
        <v>254291</v>
      </c>
      <c r="DD40" s="146">
        <v>92495</v>
      </c>
      <c r="DE40" s="160"/>
      <c r="DG40" s="138">
        <v>-2219</v>
      </c>
      <c r="DH40" s="138">
        <v>4943</v>
      </c>
      <c r="DI40" s="139">
        <v>21781</v>
      </c>
      <c r="DJ40" s="138">
        <v>14405</v>
      </c>
      <c r="DL40" s="139"/>
      <c r="DM40" s="139">
        <v>7376</v>
      </c>
      <c r="DN40" s="139">
        <v>180</v>
      </c>
      <c r="DO40" s="139">
        <v>-81</v>
      </c>
      <c r="DP40" s="139"/>
      <c r="DQ40" s="138">
        <v>7475</v>
      </c>
      <c r="DR40" s="139">
        <v>-13315</v>
      </c>
      <c r="DS40" s="139">
        <v>15770</v>
      </c>
      <c r="DT40" s="176"/>
      <c r="DU40" s="139">
        <v>2767</v>
      </c>
      <c r="DV40" s="151">
        <v>-24000</v>
      </c>
      <c r="DW40" s="138">
        <v>-2112</v>
      </c>
      <c r="DX40" s="138">
        <v>254291</v>
      </c>
      <c r="DY40" s="146">
        <v>223427</v>
      </c>
      <c r="DZ40" s="196">
        <v>12226</v>
      </c>
      <c r="EA40" s="146">
        <v>18638</v>
      </c>
      <c r="EB40" s="114">
        <v>19.5</v>
      </c>
      <c r="EC40" s="152"/>
      <c r="ED40" s="138">
        <v>132</v>
      </c>
      <c r="EE40" s="138">
        <v>185844</v>
      </c>
      <c r="EF40" s="138">
        <v>192741</v>
      </c>
      <c r="EG40" s="138">
        <v>203035</v>
      </c>
      <c r="EH40" s="138"/>
      <c r="EI40" s="138"/>
      <c r="EJ40" s="138"/>
      <c r="EK40" s="3">
        <v>-57644</v>
      </c>
      <c r="EL40" s="138">
        <v>1254</v>
      </c>
      <c r="EM40" s="138">
        <v>9086</v>
      </c>
      <c r="EN40" s="3">
        <v>-33109</v>
      </c>
      <c r="EO40" s="138">
        <v>2274</v>
      </c>
      <c r="EP40" s="138">
        <v>8179</v>
      </c>
      <c r="EQ40" s="3">
        <v>-25204</v>
      </c>
      <c r="ER40" s="138">
        <v>483</v>
      </c>
      <c r="ES40" s="138">
        <v>6839</v>
      </c>
      <c r="ET40" s="163">
        <v>31856</v>
      </c>
      <c r="EU40" s="163">
        <v>6527</v>
      </c>
      <c r="EV40" s="138">
        <v>49286</v>
      </c>
      <c r="EW40" s="138">
        <v>2636</v>
      </c>
      <c r="EX40" s="138">
        <v>32000</v>
      </c>
      <c r="EY40" s="138">
        <v>5295</v>
      </c>
      <c r="EZ40" s="138">
        <v>175552</v>
      </c>
      <c r="FA40" s="138">
        <v>131000</v>
      </c>
      <c r="FB40" s="138">
        <v>44552</v>
      </c>
      <c r="FC40" s="138">
        <v>43577</v>
      </c>
      <c r="FD40" s="138">
        <v>181586</v>
      </c>
      <c r="FE40" s="138">
        <v>133096</v>
      </c>
      <c r="FF40" s="138">
        <v>48490</v>
      </c>
      <c r="FG40" s="138">
        <v>43418</v>
      </c>
      <c r="FH40" s="138">
        <v>194881</v>
      </c>
      <c r="FI40" s="138">
        <v>133673</v>
      </c>
      <c r="FJ40" s="138">
        <v>61208</v>
      </c>
      <c r="FK40" s="138">
        <v>43778</v>
      </c>
      <c r="FL40" s="147">
        <v>5219</v>
      </c>
      <c r="FM40" s="147">
        <v>5447.531001377839</v>
      </c>
      <c r="FO40" s="181">
        <f t="shared" si="0"/>
        <v>11457.794871794871</v>
      </c>
      <c r="FP40" s="179">
        <f t="shared" si="1"/>
        <v>168.9790707576744</v>
      </c>
      <c r="FR40" s="184"/>
      <c r="FV40" s="184">
        <v>20186</v>
      </c>
      <c r="FW40" s="2">
        <f t="shared" si="2"/>
        <v>-20186</v>
      </c>
    </row>
    <row r="41" spans="1:179" ht="12.75">
      <c r="A41" s="82">
        <v>139</v>
      </c>
      <c r="B41" s="80" t="s">
        <v>39</v>
      </c>
      <c r="C41" s="191">
        <v>9499</v>
      </c>
      <c r="D41" s="146"/>
      <c r="E41" s="150">
        <v>1.4379066478076379</v>
      </c>
      <c r="F41" s="150">
        <v>50.9</v>
      </c>
      <c r="G41" s="151">
        <v>-2512</v>
      </c>
      <c r="H41" s="152"/>
      <c r="I41" s="152"/>
      <c r="J41" s="152"/>
      <c r="K41" s="150">
        <v>50.2</v>
      </c>
      <c r="L41" s="151">
        <v>307</v>
      </c>
      <c r="M41" s="151">
        <v>18</v>
      </c>
      <c r="N41" s="154">
        <v>6303.084535214233</v>
      </c>
      <c r="O41" s="146">
        <v>17214</v>
      </c>
      <c r="P41" s="139">
        <v>6398</v>
      </c>
      <c r="Q41" s="139">
        <v>52620</v>
      </c>
      <c r="R41" s="139">
        <v>-46222</v>
      </c>
      <c r="S41" s="146">
        <v>26472</v>
      </c>
      <c r="T41" s="139">
        <v>24136</v>
      </c>
      <c r="U41" s="160"/>
      <c r="W41" s="138">
        <v>-648</v>
      </c>
      <c r="X41" s="138">
        <v>653</v>
      </c>
      <c r="Y41" s="139">
        <v>4391</v>
      </c>
      <c r="Z41" s="138">
        <v>1756</v>
      </c>
      <c r="AC41" s="139">
        <v>2635</v>
      </c>
      <c r="AD41" s="138">
        <v>70</v>
      </c>
      <c r="AG41" s="139">
        <v>2705</v>
      </c>
      <c r="AH41" s="139">
        <v>848</v>
      </c>
      <c r="AI41" s="139">
        <v>4238</v>
      </c>
      <c r="AJ41" s="176"/>
      <c r="AK41" s="138">
        <v>-138</v>
      </c>
      <c r="AL41" s="151">
        <v>-2843</v>
      </c>
      <c r="AM41" s="151">
        <v>1372</v>
      </c>
      <c r="AN41" s="146">
        <v>26472</v>
      </c>
      <c r="AO41" s="139">
        <v>22652</v>
      </c>
      <c r="AP41" s="139">
        <v>1316</v>
      </c>
      <c r="AQ41" s="139">
        <v>2504</v>
      </c>
      <c r="AR41" s="114">
        <v>20.5</v>
      </c>
      <c r="AS41" s="152"/>
      <c r="AT41" s="138">
        <v>49</v>
      </c>
      <c r="AU41" s="191">
        <v>9574</v>
      </c>
      <c r="AV41" s="146"/>
      <c r="AW41" s="150">
        <v>0.6965006729475101</v>
      </c>
      <c r="AX41" s="150">
        <v>60.2</v>
      </c>
      <c r="AY41" s="151">
        <v>-2982</v>
      </c>
      <c r="AZ41" s="152"/>
      <c r="BA41" s="152"/>
      <c r="BB41" s="152"/>
      <c r="BC41" s="150">
        <v>45.8</v>
      </c>
      <c r="BD41" s="151">
        <v>479</v>
      </c>
      <c r="BE41" s="151">
        <v>25</v>
      </c>
      <c r="BF41" s="154">
        <v>7101.4205138917905</v>
      </c>
      <c r="BG41" s="146">
        <v>18422</v>
      </c>
      <c r="BH41" s="139">
        <v>6808</v>
      </c>
      <c r="BI41" s="139">
        <v>55747</v>
      </c>
      <c r="BJ41" s="139">
        <v>-48939</v>
      </c>
      <c r="BK41" s="146">
        <v>26609</v>
      </c>
      <c r="BL41" s="146">
        <v>25343</v>
      </c>
      <c r="BM41" s="160"/>
      <c r="BO41" s="138">
        <v>-606</v>
      </c>
      <c r="BP41" s="138">
        <v>80</v>
      </c>
      <c r="BQ41" s="139">
        <v>2487</v>
      </c>
      <c r="BR41" s="138">
        <v>1905</v>
      </c>
      <c r="BU41" s="139">
        <v>582</v>
      </c>
      <c r="BV41" s="138">
        <v>70</v>
      </c>
      <c r="BY41" s="138">
        <v>652</v>
      </c>
      <c r="BZ41" s="139">
        <v>1419</v>
      </c>
      <c r="CA41" s="139">
        <v>2411</v>
      </c>
      <c r="CB41" s="176"/>
      <c r="CC41" s="138">
        <v>-22</v>
      </c>
      <c r="CD41" s="151">
        <v>-3840</v>
      </c>
      <c r="CE41" s="151">
        <v>-4665</v>
      </c>
      <c r="CF41" s="138">
        <v>26609</v>
      </c>
      <c r="CG41" s="139">
        <v>23146</v>
      </c>
      <c r="CH41" s="139">
        <v>879</v>
      </c>
      <c r="CI41" s="139">
        <v>2584</v>
      </c>
      <c r="CJ41" s="114">
        <v>20.5</v>
      </c>
      <c r="CK41" s="152"/>
      <c r="CL41" s="138">
        <v>82</v>
      </c>
      <c r="CM41" s="190">
        <v>9610</v>
      </c>
      <c r="CN41" s="146"/>
      <c r="CO41" s="150">
        <v>0.9469332820611421</v>
      </c>
      <c r="CP41" s="150">
        <v>56.25571215546683</v>
      </c>
      <c r="CQ41" s="151">
        <v>-2982.726326742976</v>
      </c>
      <c r="CR41" s="152"/>
      <c r="CS41" s="152"/>
      <c r="CT41" s="152"/>
      <c r="CU41" s="150">
        <v>47.4322737748402</v>
      </c>
      <c r="CV41" s="151">
        <v>463.78772112382933</v>
      </c>
      <c r="CW41" s="151">
        <v>23.86429315377958</v>
      </c>
      <c r="CX41" s="154">
        <v>7093.548387096775</v>
      </c>
      <c r="CY41" s="146">
        <v>18863</v>
      </c>
      <c r="CZ41" s="139">
        <v>7205</v>
      </c>
      <c r="DA41" s="139">
        <v>57926</v>
      </c>
      <c r="DB41" s="139">
        <v>-50721</v>
      </c>
      <c r="DC41" s="146">
        <v>28935</v>
      </c>
      <c r="DD41" s="146">
        <v>26239</v>
      </c>
      <c r="DE41" s="160"/>
      <c r="DG41" s="138">
        <v>-661</v>
      </c>
      <c r="DH41" s="138">
        <v>460</v>
      </c>
      <c r="DI41" s="139">
        <v>4252</v>
      </c>
      <c r="DJ41" s="138">
        <v>2179</v>
      </c>
      <c r="DM41" s="139">
        <v>2073</v>
      </c>
      <c r="DN41" s="138">
        <v>76</v>
      </c>
      <c r="DQ41" s="138">
        <v>2149</v>
      </c>
      <c r="DR41" s="139">
        <v>3568</v>
      </c>
      <c r="DS41" s="139">
        <v>4645</v>
      </c>
      <c r="DT41" s="176"/>
      <c r="DU41" s="138">
        <v>269</v>
      </c>
      <c r="DV41" s="151">
        <v>-4528</v>
      </c>
      <c r="DW41" s="138">
        <v>6</v>
      </c>
      <c r="DX41" s="138">
        <v>28935</v>
      </c>
      <c r="DY41" s="146">
        <v>25096</v>
      </c>
      <c r="DZ41" s="196">
        <v>1175</v>
      </c>
      <c r="EA41" s="146">
        <v>2664</v>
      </c>
      <c r="EB41" s="114">
        <v>20.5</v>
      </c>
      <c r="EC41" s="152"/>
      <c r="ED41" s="138">
        <v>72</v>
      </c>
      <c r="EE41" s="138">
        <v>30188</v>
      </c>
      <c r="EF41" s="138">
        <v>32034</v>
      </c>
      <c r="EG41" s="138">
        <v>33301</v>
      </c>
      <c r="EH41" s="138"/>
      <c r="EI41" s="138"/>
      <c r="EJ41" s="138"/>
      <c r="EK41" s="3">
        <v>-3511</v>
      </c>
      <c r="EL41" s="138">
        <v>130</v>
      </c>
      <c r="EM41" s="138">
        <v>515</v>
      </c>
      <c r="EN41" s="3">
        <v>-7781</v>
      </c>
      <c r="EO41" s="138">
        <v>626</v>
      </c>
      <c r="EP41" s="138">
        <v>79</v>
      </c>
      <c r="EQ41" s="3">
        <v>-5052</v>
      </c>
      <c r="ER41" s="138">
        <v>350</v>
      </c>
      <c r="ES41" s="138">
        <v>63</v>
      </c>
      <c r="ET41" s="163"/>
      <c r="EU41" s="163">
        <v>692</v>
      </c>
      <c r="EV41" s="138">
        <v>7500</v>
      </c>
      <c r="EW41" s="138">
        <v>1246</v>
      </c>
      <c r="EX41" s="138">
        <v>5000</v>
      </c>
      <c r="EY41" s="138">
        <v>-511</v>
      </c>
      <c r="EZ41" s="138">
        <v>22207</v>
      </c>
      <c r="FA41" s="138">
        <v>13363</v>
      </c>
      <c r="FB41" s="138">
        <v>8844</v>
      </c>
      <c r="FC41" s="138">
        <v>890</v>
      </c>
      <c r="FD41" s="138">
        <v>27112</v>
      </c>
      <c r="FE41" s="138">
        <v>17023</v>
      </c>
      <c r="FF41" s="138">
        <v>10089</v>
      </c>
      <c r="FG41" s="138">
        <v>890</v>
      </c>
      <c r="FH41" s="138">
        <v>27073</v>
      </c>
      <c r="FI41" s="138">
        <v>17495</v>
      </c>
      <c r="FJ41" s="138">
        <v>9578</v>
      </c>
      <c r="FK41" s="138">
        <v>890</v>
      </c>
      <c r="FL41" s="147">
        <v>3740</v>
      </c>
      <c r="FM41" s="147">
        <v>4193.9628159598915</v>
      </c>
      <c r="FO41" s="181">
        <f t="shared" si="0"/>
        <v>1224.1951219512196</v>
      </c>
      <c r="FP41" s="179">
        <f t="shared" si="1"/>
        <v>127.38762975558996</v>
      </c>
      <c r="FR41" s="184"/>
      <c r="FV41" s="184">
        <v>2843</v>
      </c>
      <c r="FW41" s="2">
        <f t="shared" si="2"/>
        <v>-2843</v>
      </c>
    </row>
    <row r="42" spans="1:179" ht="12.75">
      <c r="A42" s="82">
        <v>140</v>
      </c>
      <c r="B42" s="80" t="s">
        <v>40</v>
      </c>
      <c r="C42" s="191">
        <v>22147</v>
      </c>
      <c r="D42" s="146"/>
      <c r="E42" s="150">
        <v>0.9519650655021834</v>
      </c>
      <c r="F42" s="150">
        <v>33.7</v>
      </c>
      <c r="G42" s="151">
        <v>-876</v>
      </c>
      <c r="H42" s="152"/>
      <c r="I42" s="152"/>
      <c r="J42" s="152"/>
      <c r="K42" s="150">
        <v>62.2</v>
      </c>
      <c r="L42" s="151">
        <v>928</v>
      </c>
      <c r="M42" s="151">
        <v>50</v>
      </c>
      <c r="N42" s="154">
        <v>6771.842687497177</v>
      </c>
      <c r="O42" s="146">
        <v>44445</v>
      </c>
      <c r="P42" s="139">
        <v>28639</v>
      </c>
      <c r="Q42" s="139">
        <v>133216</v>
      </c>
      <c r="R42" s="139">
        <v>-104577</v>
      </c>
      <c r="S42" s="146">
        <v>67304</v>
      </c>
      <c r="T42" s="139">
        <v>42006</v>
      </c>
      <c r="U42" s="160"/>
      <c r="W42" s="138">
        <v>-405</v>
      </c>
      <c r="X42" s="138">
        <v>294</v>
      </c>
      <c r="Y42" s="139">
        <v>4622</v>
      </c>
      <c r="Z42" s="138">
        <v>5417</v>
      </c>
      <c r="AC42" s="139">
        <v>-795</v>
      </c>
      <c r="AD42" s="139">
        <v>458</v>
      </c>
      <c r="AF42" s="139">
        <v>62</v>
      </c>
      <c r="AG42" s="139">
        <v>-275</v>
      </c>
      <c r="AH42" s="139">
        <v>-275</v>
      </c>
      <c r="AI42" s="139">
        <v>4160</v>
      </c>
      <c r="AJ42" s="176"/>
      <c r="AK42" s="139">
        <v>-1268</v>
      </c>
      <c r="AL42" s="151">
        <v>-4886</v>
      </c>
      <c r="AM42" s="151">
        <v>-3742</v>
      </c>
      <c r="AN42" s="146">
        <v>67304</v>
      </c>
      <c r="AO42" s="139">
        <v>57565</v>
      </c>
      <c r="AP42" s="139">
        <v>5583</v>
      </c>
      <c r="AQ42" s="139">
        <v>4156</v>
      </c>
      <c r="AR42" s="114">
        <v>19.5</v>
      </c>
      <c r="AS42" s="152"/>
      <c r="AT42" s="138">
        <v>194</v>
      </c>
      <c r="AU42" s="191">
        <v>22135</v>
      </c>
      <c r="AV42" s="146"/>
      <c r="AW42" s="150">
        <v>1.0868019242836227</v>
      </c>
      <c r="AX42" s="150">
        <v>35.7</v>
      </c>
      <c r="AY42" s="151">
        <v>-967</v>
      </c>
      <c r="AZ42" s="152"/>
      <c r="BA42" s="152"/>
      <c r="BB42" s="152"/>
      <c r="BC42" s="150">
        <v>59.5</v>
      </c>
      <c r="BD42" s="151">
        <v>1056</v>
      </c>
      <c r="BE42" s="151">
        <v>56</v>
      </c>
      <c r="BF42" s="154">
        <v>6947.63948497854</v>
      </c>
      <c r="BG42" s="146">
        <v>45583</v>
      </c>
      <c r="BH42" s="139">
        <v>31069</v>
      </c>
      <c r="BI42" s="139">
        <v>139664</v>
      </c>
      <c r="BJ42" s="139">
        <v>-108595</v>
      </c>
      <c r="BK42" s="146">
        <v>69148</v>
      </c>
      <c r="BL42" s="146">
        <v>43500</v>
      </c>
      <c r="BM42" s="160"/>
      <c r="BO42" s="138">
        <v>-419</v>
      </c>
      <c r="BP42" s="138">
        <v>1070</v>
      </c>
      <c r="BQ42" s="139">
        <v>4704</v>
      </c>
      <c r="BR42" s="138">
        <v>5835</v>
      </c>
      <c r="BU42" s="139">
        <v>-1131</v>
      </c>
      <c r="BV42" s="139">
        <v>481</v>
      </c>
      <c r="BX42" s="139">
        <v>136</v>
      </c>
      <c r="BY42" s="138">
        <v>-514</v>
      </c>
      <c r="BZ42" s="139">
        <v>-789</v>
      </c>
      <c r="CA42" s="139">
        <v>3989</v>
      </c>
      <c r="CB42" s="176"/>
      <c r="CC42" s="139">
        <v>-85</v>
      </c>
      <c r="CD42" s="151">
        <v>-4289</v>
      </c>
      <c r="CE42" s="151">
        <v>-2314</v>
      </c>
      <c r="CF42" s="138">
        <v>69148</v>
      </c>
      <c r="CG42" s="139">
        <v>60832</v>
      </c>
      <c r="CH42" s="139">
        <v>3985</v>
      </c>
      <c r="CI42" s="139">
        <v>4331</v>
      </c>
      <c r="CJ42" s="114">
        <v>19.75</v>
      </c>
      <c r="CK42" s="152"/>
      <c r="CL42" s="138">
        <v>107</v>
      </c>
      <c r="CM42" s="190">
        <v>22171</v>
      </c>
      <c r="CN42" s="146"/>
      <c r="CO42" s="150">
        <v>1.2937966163361834</v>
      </c>
      <c r="CP42" s="150">
        <v>37.31510991256027</v>
      </c>
      <c r="CQ42" s="151">
        <v>-1137.1160525010148</v>
      </c>
      <c r="CR42" s="152"/>
      <c r="CS42" s="152"/>
      <c r="CT42" s="152"/>
      <c r="CU42" s="150">
        <v>58.11733990862282</v>
      </c>
      <c r="CV42" s="151">
        <v>1059.988272969194</v>
      </c>
      <c r="CW42" s="151">
        <v>54.03685878254515</v>
      </c>
      <c r="CX42" s="154">
        <v>7159.8484506788145</v>
      </c>
      <c r="CY42" s="146">
        <v>45134</v>
      </c>
      <c r="CZ42" s="139">
        <v>30037</v>
      </c>
      <c r="DA42" s="139">
        <v>141233</v>
      </c>
      <c r="DB42" s="139">
        <v>-111196</v>
      </c>
      <c r="DC42" s="146">
        <v>73141</v>
      </c>
      <c r="DD42" s="146">
        <v>43666</v>
      </c>
      <c r="DE42" s="160"/>
      <c r="DG42" s="138">
        <v>-234</v>
      </c>
      <c r="DH42" s="138">
        <v>1450</v>
      </c>
      <c r="DI42" s="139">
        <v>6827</v>
      </c>
      <c r="DJ42" s="138">
        <v>6238</v>
      </c>
      <c r="DM42" s="139">
        <v>589</v>
      </c>
      <c r="DN42" s="139">
        <v>-662</v>
      </c>
      <c r="DO42" s="138">
        <v>310</v>
      </c>
      <c r="DP42" s="139">
        <v>758</v>
      </c>
      <c r="DQ42" s="138">
        <v>995</v>
      </c>
      <c r="DR42" s="139">
        <v>455</v>
      </c>
      <c r="DS42" s="139">
        <v>6006</v>
      </c>
      <c r="DT42" s="176"/>
      <c r="DU42" s="139">
        <v>460</v>
      </c>
      <c r="DV42" s="151">
        <v>-5212</v>
      </c>
      <c r="DW42" s="138">
        <v>-4062</v>
      </c>
      <c r="DX42" s="138">
        <v>73141</v>
      </c>
      <c r="DY42" s="146">
        <v>63237</v>
      </c>
      <c r="DZ42" s="196">
        <v>4759</v>
      </c>
      <c r="EA42" s="146">
        <v>5145</v>
      </c>
      <c r="EB42" s="114">
        <v>19.75</v>
      </c>
      <c r="EC42" s="152"/>
      <c r="ED42" s="138">
        <v>135</v>
      </c>
      <c r="EE42" s="138">
        <v>78424</v>
      </c>
      <c r="EF42" s="138">
        <v>82604</v>
      </c>
      <c r="EG42" s="138">
        <v>84683</v>
      </c>
      <c r="EH42" s="138"/>
      <c r="EI42" s="138"/>
      <c r="EJ42" s="138"/>
      <c r="EK42" s="3">
        <v>-10207</v>
      </c>
      <c r="EL42" s="138">
        <v>1766</v>
      </c>
      <c r="EM42" s="138">
        <v>538</v>
      </c>
      <c r="EN42" s="3">
        <v>-8765</v>
      </c>
      <c r="EO42" s="138">
        <v>1416</v>
      </c>
      <c r="EP42" s="138">
        <v>1046</v>
      </c>
      <c r="EQ42" s="3">
        <v>-11541</v>
      </c>
      <c r="ER42" s="138">
        <v>458</v>
      </c>
      <c r="ES42" s="138">
        <v>1015</v>
      </c>
      <c r="ET42" s="163">
        <v>8900</v>
      </c>
      <c r="EU42" s="163">
        <v>93</v>
      </c>
      <c r="EV42" s="138">
        <v>8000</v>
      </c>
      <c r="EW42" s="138"/>
      <c r="EX42" s="138">
        <v>9200</v>
      </c>
      <c r="EY42" s="138"/>
      <c r="EZ42" s="138">
        <v>34968</v>
      </c>
      <c r="FA42" s="138">
        <v>30679</v>
      </c>
      <c r="FB42" s="138">
        <v>4289</v>
      </c>
      <c r="FC42" s="138">
        <v>2934</v>
      </c>
      <c r="FD42" s="138">
        <v>38679</v>
      </c>
      <c r="FE42" s="138">
        <v>33719</v>
      </c>
      <c r="FF42" s="138">
        <v>4960</v>
      </c>
      <c r="FG42" s="138">
        <v>2720</v>
      </c>
      <c r="FH42" s="138">
        <v>42667</v>
      </c>
      <c r="FI42" s="138">
        <v>36987</v>
      </c>
      <c r="FJ42" s="138">
        <v>5680</v>
      </c>
      <c r="FK42" s="138">
        <v>2528</v>
      </c>
      <c r="FL42" s="147">
        <v>3280</v>
      </c>
      <c r="FM42" s="147">
        <v>3533.4086288683084</v>
      </c>
      <c r="FO42" s="181">
        <f t="shared" si="0"/>
        <v>3201.8734177215188</v>
      </c>
      <c r="FP42" s="179">
        <f t="shared" si="1"/>
        <v>144.41718540983803</v>
      </c>
      <c r="FR42" s="184"/>
      <c r="FV42" s="184">
        <v>4886</v>
      </c>
      <c r="FW42" s="2">
        <f t="shared" si="2"/>
        <v>-4886</v>
      </c>
    </row>
    <row r="43" spans="1:179" ht="12.75">
      <c r="A43" s="82">
        <v>142</v>
      </c>
      <c r="B43" s="80" t="s">
        <v>41</v>
      </c>
      <c r="C43" s="191">
        <v>7002</v>
      </c>
      <c r="D43" s="146"/>
      <c r="E43" s="150">
        <v>0.2967189728958631</v>
      </c>
      <c r="F43" s="150">
        <v>35</v>
      </c>
      <c r="G43" s="151">
        <v>-1111</v>
      </c>
      <c r="H43" s="152"/>
      <c r="I43" s="152"/>
      <c r="J43" s="152"/>
      <c r="K43" s="150">
        <v>69</v>
      </c>
      <c r="L43" s="151">
        <v>492</v>
      </c>
      <c r="M43" s="151">
        <v>30</v>
      </c>
      <c r="N43" s="154">
        <v>6022.564981433877</v>
      </c>
      <c r="O43" s="146">
        <v>10113</v>
      </c>
      <c r="P43" s="139">
        <v>3557</v>
      </c>
      <c r="Q43" s="139">
        <v>37113</v>
      </c>
      <c r="R43" s="139">
        <v>-33556</v>
      </c>
      <c r="S43" s="146">
        <v>19833</v>
      </c>
      <c r="T43" s="139">
        <v>13636</v>
      </c>
      <c r="U43" s="160"/>
      <c r="W43" s="138">
        <v>53</v>
      </c>
      <c r="X43" s="138">
        <v>96</v>
      </c>
      <c r="Y43" s="139">
        <v>62</v>
      </c>
      <c r="Z43" s="138">
        <v>1476</v>
      </c>
      <c r="AC43" s="139">
        <v>-1414</v>
      </c>
      <c r="AD43" s="139">
        <v>70</v>
      </c>
      <c r="AG43" s="139">
        <v>-1344</v>
      </c>
      <c r="AH43" s="139">
        <v>1732</v>
      </c>
      <c r="AI43" s="139">
        <v>-145</v>
      </c>
      <c r="AJ43" s="176"/>
      <c r="AK43" s="139">
        <v>-617</v>
      </c>
      <c r="AL43" s="151">
        <v>-555</v>
      </c>
      <c r="AM43" s="151">
        <v>-4000</v>
      </c>
      <c r="AN43" s="146">
        <v>19833</v>
      </c>
      <c r="AO43" s="139">
        <v>16438</v>
      </c>
      <c r="AP43" s="139">
        <v>1583</v>
      </c>
      <c r="AQ43" s="139">
        <v>1812</v>
      </c>
      <c r="AR43" s="114">
        <v>18.5</v>
      </c>
      <c r="AS43" s="152"/>
      <c r="AT43" s="138">
        <v>281</v>
      </c>
      <c r="AU43" s="191">
        <v>6955</v>
      </c>
      <c r="AV43" s="146"/>
      <c r="AW43" s="150">
        <v>0.4603629417382999</v>
      </c>
      <c r="AX43" s="150">
        <v>35.8</v>
      </c>
      <c r="AY43" s="151">
        <v>-1552</v>
      </c>
      <c r="AZ43" s="152"/>
      <c r="BA43" s="152"/>
      <c r="BB43" s="152"/>
      <c r="BC43" s="150">
        <v>63.8</v>
      </c>
      <c r="BD43" s="151">
        <v>328</v>
      </c>
      <c r="BE43" s="151">
        <v>19</v>
      </c>
      <c r="BF43" s="154">
        <v>6405.8950395399</v>
      </c>
      <c r="BG43" s="146">
        <v>10567</v>
      </c>
      <c r="BH43" s="139">
        <v>4532</v>
      </c>
      <c r="BI43" s="139">
        <v>39434</v>
      </c>
      <c r="BJ43" s="139">
        <v>-34902</v>
      </c>
      <c r="BK43" s="146">
        <v>20614</v>
      </c>
      <c r="BL43" s="146">
        <v>14686</v>
      </c>
      <c r="BM43" s="160"/>
      <c r="BO43" s="138">
        <v>-116</v>
      </c>
      <c r="BP43" s="138">
        <v>23</v>
      </c>
      <c r="BQ43" s="139">
        <v>305</v>
      </c>
      <c r="BR43" s="138">
        <v>1763</v>
      </c>
      <c r="BT43" s="138">
        <v>3249</v>
      </c>
      <c r="BU43" s="139">
        <v>-4707</v>
      </c>
      <c r="BV43" s="139"/>
      <c r="BW43" s="138">
        <v>70</v>
      </c>
      <c r="BY43" s="138">
        <v>-4637</v>
      </c>
      <c r="BZ43" s="139">
        <v>1067</v>
      </c>
      <c r="CA43" s="139">
        <v>-315</v>
      </c>
      <c r="CB43" s="176"/>
      <c r="CC43" s="139">
        <v>535</v>
      </c>
      <c r="CD43" s="151">
        <v>-870</v>
      </c>
      <c r="CE43" s="151">
        <v>-3368</v>
      </c>
      <c r="CF43" s="138">
        <v>20614</v>
      </c>
      <c r="CG43" s="139">
        <v>17796</v>
      </c>
      <c r="CH43" s="139">
        <v>987</v>
      </c>
      <c r="CI43" s="139">
        <v>1831</v>
      </c>
      <c r="CJ43" s="114">
        <v>19</v>
      </c>
      <c r="CK43" s="152"/>
      <c r="CL43" s="138">
        <v>222</v>
      </c>
      <c r="CM43" s="190">
        <v>6981</v>
      </c>
      <c r="CN43" s="146"/>
      <c r="CO43" s="150">
        <v>1.3371980676328503</v>
      </c>
      <c r="CP43" s="150">
        <v>37.33282292987535</v>
      </c>
      <c r="CQ43" s="151">
        <v>-1496.0607362842</v>
      </c>
      <c r="CR43" s="152"/>
      <c r="CS43" s="152"/>
      <c r="CT43" s="152"/>
      <c r="CU43" s="150">
        <v>61.57838311973101</v>
      </c>
      <c r="CV43" s="151">
        <v>401.6616530583011</v>
      </c>
      <c r="CW43" s="151">
        <v>23.332573408717856</v>
      </c>
      <c r="CX43" s="154">
        <v>6283.340495630999</v>
      </c>
      <c r="CY43" s="146">
        <v>10577</v>
      </c>
      <c r="CZ43" s="139">
        <v>4583</v>
      </c>
      <c r="DA43" s="139">
        <v>40448</v>
      </c>
      <c r="DB43" s="139">
        <v>-35865</v>
      </c>
      <c r="DC43" s="146">
        <v>22472</v>
      </c>
      <c r="DD43" s="146">
        <v>14742</v>
      </c>
      <c r="DE43" s="160"/>
      <c r="DG43" s="138">
        <v>-141</v>
      </c>
      <c r="DH43" s="138">
        <v>30</v>
      </c>
      <c r="DI43" s="139">
        <v>1238</v>
      </c>
      <c r="DJ43" s="138">
        <v>1717</v>
      </c>
      <c r="DK43" s="138">
        <v>745</v>
      </c>
      <c r="DM43" s="139">
        <v>266</v>
      </c>
      <c r="DN43" s="139">
        <v>70</v>
      </c>
      <c r="DQ43" s="138">
        <v>336</v>
      </c>
      <c r="DR43" s="139">
        <v>1402</v>
      </c>
      <c r="DS43" s="139">
        <v>774</v>
      </c>
      <c r="DT43" s="176"/>
      <c r="DU43" s="139">
        <v>-1164</v>
      </c>
      <c r="DV43" s="151">
        <v>-889</v>
      </c>
      <c r="DW43" s="138">
        <v>989</v>
      </c>
      <c r="DX43" s="138">
        <v>22472</v>
      </c>
      <c r="DY43" s="146">
        <v>19224</v>
      </c>
      <c r="DZ43" s="196">
        <v>1006</v>
      </c>
      <c r="EA43" s="146">
        <v>2242</v>
      </c>
      <c r="EB43" s="114">
        <v>19.75</v>
      </c>
      <c r="EC43" s="152"/>
      <c r="ED43" s="138">
        <v>217</v>
      </c>
      <c r="EE43" s="138">
        <v>24362</v>
      </c>
      <c r="EF43" s="138">
        <v>26098</v>
      </c>
      <c r="EG43" s="138">
        <v>27370</v>
      </c>
      <c r="EH43" s="138"/>
      <c r="EI43" s="138"/>
      <c r="EJ43" s="138"/>
      <c r="EK43" s="3">
        <v>-4230</v>
      </c>
      <c r="EL43" s="138">
        <v>30</v>
      </c>
      <c r="EM43" s="138">
        <v>346</v>
      </c>
      <c r="EN43" s="3">
        <v>-4043</v>
      </c>
      <c r="EO43" s="138"/>
      <c r="EP43" s="138">
        <v>990</v>
      </c>
      <c r="EQ43" s="3">
        <v>-2336</v>
      </c>
      <c r="ER43" s="138">
        <v>163</v>
      </c>
      <c r="ES43" s="138">
        <v>2388</v>
      </c>
      <c r="ET43" s="163">
        <v>1854</v>
      </c>
      <c r="EU43" s="163">
        <v>1000</v>
      </c>
      <c r="EV43" s="138">
        <v>2600</v>
      </c>
      <c r="EW43" s="138">
        <v>500</v>
      </c>
      <c r="EX43" s="138">
        <v>2000</v>
      </c>
      <c r="EY43" s="138"/>
      <c r="EZ43" s="138">
        <v>8270</v>
      </c>
      <c r="FA43" s="138">
        <v>6530</v>
      </c>
      <c r="FB43" s="138">
        <v>1740</v>
      </c>
      <c r="FC43" s="138">
        <v>4243</v>
      </c>
      <c r="FD43" s="138">
        <v>10499</v>
      </c>
      <c r="FE43" s="138">
        <v>8110</v>
      </c>
      <c r="FF43" s="138">
        <v>2389</v>
      </c>
      <c r="FG43" s="138">
        <v>993</v>
      </c>
      <c r="FH43" s="138">
        <v>11610</v>
      </c>
      <c r="FI43" s="138">
        <v>9127</v>
      </c>
      <c r="FJ43" s="138">
        <v>2483</v>
      </c>
      <c r="FK43" s="138">
        <v>993</v>
      </c>
      <c r="FL43" s="147">
        <v>2876</v>
      </c>
      <c r="FM43" s="147">
        <v>3243.565780014378</v>
      </c>
      <c r="FO43" s="181">
        <f t="shared" si="0"/>
        <v>973.367088607595</v>
      </c>
      <c r="FP43" s="179">
        <f t="shared" si="1"/>
        <v>139.4308965202113</v>
      </c>
      <c r="FR43" s="184"/>
      <c r="FV43" s="184">
        <v>555</v>
      </c>
      <c r="FW43" s="2">
        <f t="shared" si="2"/>
        <v>-555</v>
      </c>
    </row>
    <row r="44" spans="1:179" ht="12.75">
      <c r="A44" s="82">
        <v>143</v>
      </c>
      <c r="B44" s="80" t="s">
        <v>42</v>
      </c>
      <c r="C44" s="191">
        <v>7375</v>
      </c>
      <c r="D44" s="146"/>
      <c r="E44" s="150">
        <v>0.4405436013590034</v>
      </c>
      <c r="F44" s="150">
        <v>38.3</v>
      </c>
      <c r="G44" s="151">
        <v>-1751</v>
      </c>
      <c r="H44" s="152"/>
      <c r="I44" s="152"/>
      <c r="J44" s="152"/>
      <c r="K44" s="150">
        <v>54.3</v>
      </c>
      <c r="L44" s="151">
        <v>33</v>
      </c>
      <c r="M44" s="151">
        <v>2</v>
      </c>
      <c r="N44" s="154">
        <v>6346.033898305085</v>
      </c>
      <c r="O44" s="146">
        <v>20475</v>
      </c>
      <c r="P44" s="139">
        <v>6227</v>
      </c>
      <c r="Q44" s="139">
        <v>43205</v>
      </c>
      <c r="R44" s="139">
        <v>-36978</v>
      </c>
      <c r="S44" s="146">
        <v>21482</v>
      </c>
      <c r="T44" s="139">
        <v>15723</v>
      </c>
      <c r="U44" s="160"/>
      <c r="W44" s="138">
        <v>-96</v>
      </c>
      <c r="X44" s="138">
        <v>119</v>
      </c>
      <c r="Y44" s="139">
        <v>250</v>
      </c>
      <c r="Z44" s="138">
        <v>1225</v>
      </c>
      <c r="AC44" s="139">
        <v>-975</v>
      </c>
      <c r="AD44" s="139">
        <v>3</v>
      </c>
      <c r="AG44" s="139">
        <v>-972</v>
      </c>
      <c r="AH44" s="139">
        <v>-1336</v>
      </c>
      <c r="AI44" s="139">
        <v>150</v>
      </c>
      <c r="AJ44" s="176"/>
      <c r="AK44" s="139">
        <v>128</v>
      </c>
      <c r="AL44" s="151">
        <v>-744</v>
      </c>
      <c r="AM44" s="151">
        <v>-2079</v>
      </c>
      <c r="AN44" s="146">
        <v>21482</v>
      </c>
      <c r="AO44" s="139">
        <v>17841</v>
      </c>
      <c r="AP44" s="139">
        <v>1740</v>
      </c>
      <c r="AQ44" s="139">
        <v>1901</v>
      </c>
      <c r="AR44" s="114">
        <v>19.75</v>
      </c>
      <c r="AS44" s="152"/>
      <c r="AT44" s="138">
        <v>273</v>
      </c>
      <c r="AU44" s="191">
        <v>7346</v>
      </c>
      <c r="AV44" s="146"/>
      <c r="AW44" s="150">
        <v>1.432512315270936</v>
      </c>
      <c r="AX44" s="150">
        <v>60.7</v>
      </c>
      <c r="AY44" s="151">
        <v>-2635</v>
      </c>
      <c r="AZ44" s="152"/>
      <c r="BA44" s="152"/>
      <c r="BB44" s="152"/>
      <c r="BC44" s="150">
        <v>41.6</v>
      </c>
      <c r="BD44" s="151">
        <v>149</v>
      </c>
      <c r="BE44" s="151">
        <v>7</v>
      </c>
      <c r="BF44" s="154">
        <v>7321.807786550504</v>
      </c>
      <c r="BG44" s="146">
        <v>20804</v>
      </c>
      <c r="BH44" s="139">
        <v>7163</v>
      </c>
      <c r="BI44" s="139">
        <v>44808</v>
      </c>
      <c r="BJ44" s="139">
        <v>-37645</v>
      </c>
      <c r="BK44" s="146">
        <v>22478</v>
      </c>
      <c r="BL44" s="146">
        <v>16417</v>
      </c>
      <c r="BM44" s="160"/>
      <c r="BO44" s="138">
        <v>-50</v>
      </c>
      <c r="BP44" s="138">
        <v>100</v>
      </c>
      <c r="BQ44" s="139">
        <v>1300</v>
      </c>
      <c r="BR44" s="138">
        <v>1278</v>
      </c>
      <c r="BU44" s="139">
        <v>22</v>
      </c>
      <c r="BV44" s="139">
        <v>3</v>
      </c>
      <c r="BY44" s="138">
        <v>25</v>
      </c>
      <c r="BZ44" s="139">
        <v>-1311</v>
      </c>
      <c r="CA44" s="139">
        <v>589</v>
      </c>
      <c r="CB44" s="176"/>
      <c r="CC44" s="139">
        <v>-4013</v>
      </c>
      <c r="CD44" s="151">
        <v>-861</v>
      </c>
      <c r="CE44" s="151">
        <v>-6362</v>
      </c>
      <c r="CF44" s="138">
        <v>22478</v>
      </c>
      <c r="CG44" s="139">
        <v>19077</v>
      </c>
      <c r="CH44" s="139">
        <v>1156</v>
      </c>
      <c r="CI44" s="139">
        <v>2245</v>
      </c>
      <c r="CJ44" s="114">
        <v>20.25</v>
      </c>
      <c r="CK44" s="152"/>
      <c r="CL44" s="138">
        <v>133</v>
      </c>
      <c r="CM44" s="190">
        <v>7303</v>
      </c>
      <c r="CN44" s="146"/>
      <c r="CO44" s="150">
        <v>3.939189189189189</v>
      </c>
      <c r="CP44" s="150">
        <v>63.77518205771904</v>
      </c>
      <c r="CQ44" s="151">
        <v>-3178.2828974394083</v>
      </c>
      <c r="CR44" s="152"/>
      <c r="CS44" s="152"/>
      <c r="CT44" s="152"/>
      <c r="CU44" s="150">
        <v>39.67661934425589</v>
      </c>
      <c r="CV44" s="151">
        <v>18.759413939476925</v>
      </c>
      <c r="CW44" s="151">
        <v>0.9383033419023136</v>
      </c>
      <c r="CX44" s="154">
        <v>7297.412022456525</v>
      </c>
      <c r="CY44" s="146">
        <v>21659</v>
      </c>
      <c r="CZ44" s="139">
        <v>6712</v>
      </c>
      <c r="DA44" s="139">
        <v>46672</v>
      </c>
      <c r="DB44" s="139">
        <v>-39960</v>
      </c>
      <c r="DC44" s="146">
        <v>24363</v>
      </c>
      <c r="DD44" s="146">
        <v>17124</v>
      </c>
      <c r="DE44" s="160"/>
      <c r="DG44" s="138">
        <v>-15</v>
      </c>
      <c r="DH44" s="138">
        <v>94</v>
      </c>
      <c r="DI44" s="139">
        <v>1606</v>
      </c>
      <c r="DJ44" s="138">
        <v>1292</v>
      </c>
      <c r="DM44" s="139">
        <v>314</v>
      </c>
      <c r="DN44" s="139">
        <v>3</v>
      </c>
      <c r="DQ44" s="138">
        <v>317</v>
      </c>
      <c r="DR44" s="139">
        <v>-994</v>
      </c>
      <c r="DS44" s="139">
        <v>1424</v>
      </c>
      <c r="DT44" s="176"/>
      <c r="DU44" s="139">
        <v>101</v>
      </c>
      <c r="DV44" s="151">
        <v>-301</v>
      </c>
      <c r="DW44" s="138">
        <v>-3853</v>
      </c>
      <c r="DX44" s="138">
        <v>24363</v>
      </c>
      <c r="DY44" s="146">
        <v>20590</v>
      </c>
      <c r="DZ44" s="196">
        <v>1304</v>
      </c>
      <c r="EA44" s="146">
        <v>2469</v>
      </c>
      <c r="EB44" s="114">
        <v>20.75</v>
      </c>
      <c r="EC44" s="152"/>
      <c r="ED44" s="138">
        <v>185</v>
      </c>
      <c r="EE44" s="138">
        <v>17455</v>
      </c>
      <c r="EF44" s="138">
        <v>18551</v>
      </c>
      <c r="EG44" s="138">
        <v>19173</v>
      </c>
      <c r="EH44" s="138"/>
      <c r="EI44" s="138"/>
      <c r="EJ44" s="138"/>
      <c r="EK44" s="3">
        <v>-2681</v>
      </c>
      <c r="EL44" s="138">
        <v>347</v>
      </c>
      <c r="EM44" s="138">
        <v>105</v>
      </c>
      <c r="EN44" s="3">
        <v>-7905</v>
      </c>
      <c r="EO44" s="138">
        <v>212</v>
      </c>
      <c r="EP44" s="138">
        <v>742</v>
      </c>
      <c r="EQ44" s="3">
        <v>-6148</v>
      </c>
      <c r="ER44" s="138">
        <v>581</v>
      </c>
      <c r="ES44" s="138">
        <v>290</v>
      </c>
      <c r="ET44" s="163">
        <v>6000</v>
      </c>
      <c r="EU44" s="163">
        <v>-4850</v>
      </c>
      <c r="EV44" s="138"/>
      <c r="EW44" s="138">
        <v>12700</v>
      </c>
      <c r="EX44" s="138"/>
      <c r="EY44" s="138">
        <v>3900</v>
      </c>
      <c r="EZ44" s="138">
        <v>10559</v>
      </c>
      <c r="FA44" s="138">
        <v>6775</v>
      </c>
      <c r="FB44" s="138">
        <v>3784</v>
      </c>
      <c r="FC44" s="138">
        <v>275</v>
      </c>
      <c r="FD44" s="138">
        <v>22398</v>
      </c>
      <c r="FE44" s="138">
        <v>6097</v>
      </c>
      <c r="FF44" s="138">
        <v>16301</v>
      </c>
      <c r="FG44" s="138">
        <v>306</v>
      </c>
      <c r="FH44" s="138">
        <v>25996</v>
      </c>
      <c r="FI44" s="138">
        <v>0</v>
      </c>
      <c r="FJ44" s="138">
        <v>25996</v>
      </c>
      <c r="FK44" s="138">
        <v>306</v>
      </c>
      <c r="FL44" s="147">
        <v>3274</v>
      </c>
      <c r="FM44" s="147">
        <v>4809.420092567383</v>
      </c>
      <c r="FO44" s="181">
        <f t="shared" si="0"/>
        <v>992.289156626506</v>
      </c>
      <c r="FP44" s="179">
        <f t="shared" si="1"/>
        <v>135.87418275044587</v>
      </c>
      <c r="FR44" s="184"/>
      <c r="FV44" s="184">
        <v>744</v>
      </c>
      <c r="FW44" s="2">
        <f t="shared" si="2"/>
        <v>-744</v>
      </c>
    </row>
    <row r="45" spans="1:179" ht="12.75">
      <c r="A45" s="82">
        <v>145</v>
      </c>
      <c r="B45" s="80" t="s">
        <v>43</v>
      </c>
      <c r="C45" s="191">
        <v>11898</v>
      </c>
      <c r="D45" s="146"/>
      <c r="E45" s="150">
        <v>0.49568308786185883</v>
      </c>
      <c r="F45" s="150">
        <v>62.8</v>
      </c>
      <c r="G45" s="151">
        <v>-3122</v>
      </c>
      <c r="H45" s="152"/>
      <c r="I45" s="152"/>
      <c r="J45" s="152"/>
      <c r="K45" s="150">
        <v>50.5</v>
      </c>
      <c r="L45" s="151">
        <v>27</v>
      </c>
      <c r="M45" s="151">
        <v>1</v>
      </c>
      <c r="N45" s="154">
        <v>6511.430492519751</v>
      </c>
      <c r="O45" s="146">
        <v>23049</v>
      </c>
      <c r="P45" s="139">
        <v>9233</v>
      </c>
      <c r="Q45" s="139">
        <v>63936</v>
      </c>
      <c r="R45" s="139">
        <v>-54703</v>
      </c>
      <c r="S45" s="146">
        <v>31994</v>
      </c>
      <c r="T45" s="139">
        <v>24363</v>
      </c>
      <c r="U45" s="160"/>
      <c r="W45" s="138">
        <v>-843</v>
      </c>
      <c r="X45" s="138">
        <v>182</v>
      </c>
      <c r="Y45" s="139">
        <v>993</v>
      </c>
      <c r="Z45" s="138">
        <v>2560</v>
      </c>
      <c r="AA45" s="139"/>
      <c r="AB45" s="139">
        <v>96</v>
      </c>
      <c r="AC45" s="139">
        <v>-1663</v>
      </c>
      <c r="AG45" s="139">
        <v>-1663</v>
      </c>
      <c r="AH45" s="139">
        <v>11228</v>
      </c>
      <c r="AI45" s="139">
        <v>219</v>
      </c>
      <c r="AJ45" s="176"/>
      <c r="AK45" s="138">
        <v>224</v>
      </c>
      <c r="AL45" s="151">
        <v>-2979</v>
      </c>
      <c r="AM45" s="151">
        <v>-6610</v>
      </c>
      <c r="AN45" s="146">
        <v>31994</v>
      </c>
      <c r="AO45" s="139">
        <v>29378</v>
      </c>
      <c r="AP45" s="139">
        <v>1500</v>
      </c>
      <c r="AQ45" s="139">
        <v>1116</v>
      </c>
      <c r="AR45" s="114">
        <v>19.5</v>
      </c>
      <c r="AS45" s="152"/>
      <c r="AT45" s="138">
        <v>252</v>
      </c>
      <c r="AU45" s="191">
        <v>12022</v>
      </c>
      <c r="AV45" s="146"/>
      <c r="AW45" s="150">
        <v>0.6705267938237965</v>
      </c>
      <c r="AX45" s="150">
        <v>64.9</v>
      </c>
      <c r="AY45" s="151">
        <v>-3317</v>
      </c>
      <c r="AZ45" s="152"/>
      <c r="BA45" s="152"/>
      <c r="BB45" s="152"/>
      <c r="BC45" s="150">
        <v>47.9</v>
      </c>
      <c r="BD45" s="151">
        <v>124</v>
      </c>
      <c r="BE45" s="151">
        <v>7</v>
      </c>
      <c r="BF45" s="154">
        <v>6381.633671602062</v>
      </c>
      <c r="BG45" s="146">
        <v>24251</v>
      </c>
      <c r="BH45" s="139">
        <v>9608</v>
      </c>
      <c r="BI45" s="139">
        <v>66258</v>
      </c>
      <c r="BJ45" s="139">
        <v>-56650</v>
      </c>
      <c r="BK45" s="146">
        <v>34058</v>
      </c>
      <c r="BL45" s="146">
        <v>25348</v>
      </c>
      <c r="BM45" s="160"/>
      <c r="BO45" s="138">
        <v>-865</v>
      </c>
      <c r="BP45" s="138">
        <v>97</v>
      </c>
      <c r="BQ45" s="139">
        <v>1988</v>
      </c>
      <c r="BR45" s="138">
        <v>2849</v>
      </c>
      <c r="BS45" s="139"/>
      <c r="BT45" s="139"/>
      <c r="BU45" s="139">
        <v>-861</v>
      </c>
      <c r="BY45" s="138">
        <v>-861</v>
      </c>
      <c r="BZ45" s="139">
        <v>10367</v>
      </c>
      <c r="CA45" s="139">
        <v>1449</v>
      </c>
      <c r="CB45" s="176"/>
      <c r="CC45" s="138">
        <v>323</v>
      </c>
      <c r="CD45" s="151">
        <v>-3439</v>
      </c>
      <c r="CE45" s="151">
        <v>-2707</v>
      </c>
      <c r="CF45" s="138">
        <v>34058</v>
      </c>
      <c r="CG45" s="139">
        <v>31570</v>
      </c>
      <c r="CH45" s="139">
        <v>1074</v>
      </c>
      <c r="CI45" s="139">
        <v>1414</v>
      </c>
      <c r="CJ45" s="114">
        <v>19.75</v>
      </c>
      <c r="CK45" s="152"/>
      <c r="CL45" s="138">
        <v>144</v>
      </c>
      <c r="CM45" s="190">
        <v>12099</v>
      </c>
      <c r="CN45" s="146"/>
      <c r="CO45" s="150">
        <v>0.5497299729972998</v>
      </c>
      <c r="CP45" s="150">
        <v>67.94729388242482</v>
      </c>
      <c r="CQ45" s="151">
        <v>-3710.885197123729</v>
      </c>
      <c r="CR45" s="152"/>
      <c r="CS45" s="152"/>
      <c r="CT45" s="152"/>
      <c r="CU45" s="150">
        <v>44.89185921547555</v>
      </c>
      <c r="CV45" s="151">
        <v>62.56715431027357</v>
      </c>
      <c r="CW45" s="151">
        <v>3.3843901961024487</v>
      </c>
      <c r="CX45" s="154">
        <v>6747.747747747748</v>
      </c>
      <c r="CY45" s="146">
        <v>25214</v>
      </c>
      <c r="CZ45" s="139">
        <v>10079</v>
      </c>
      <c r="DA45" s="139">
        <v>69901</v>
      </c>
      <c r="DB45" s="139">
        <v>-59822</v>
      </c>
      <c r="DC45" s="146">
        <v>36254</v>
      </c>
      <c r="DD45" s="146">
        <v>25862</v>
      </c>
      <c r="DE45" s="160"/>
      <c r="DG45" s="138">
        <v>-622</v>
      </c>
      <c r="DH45" s="138">
        <v>53</v>
      </c>
      <c r="DI45" s="139">
        <v>1725</v>
      </c>
      <c r="DJ45" s="138">
        <v>3011</v>
      </c>
      <c r="DK45" s="139"/>
      <c r="DL45" s="139"/>
      <c r="DM45" s="139">
        <v>-1286</v>
      </c>
      <c r="DQ45" s="138">
        <v>-1286</v>
      </c>
      <c r="DR45" s="139">
        <v>9081</v>
      </c>
      <c r="DS45" s="139">
        <v>933</v>
      </c>
      <c r="DT45" s="176"/>
      <c r="DU45" s="138">
        <v>36</v>
      </c>
      <c r="DV45" s="151">
        <v>-3726</v>
      </c>
      <c r="DW45" s="138">
        <v>-5330</v>
      </c>
      <c r="DX45" s="138">
        <v>36254</v>
      </c>
      <c r="DY45" s="146">
        <v>33455</v>
      </c>
      <c r="DZ45" s="196">
        <v>1100</v>
      </c>
      <c r="EA45" s="146">
        <v>1699</v>
      </c>
      <c r="EB45" s="114">
        <v>19.75</v>
      </c>
      <c r="EC45" s="152"/>
      <c r="ED45" s="138">
        <v>229</v>
      </c>
      <c r="EE45" s="138">
        <v>33684</v>
      </c>
      <c r="EF45" s="138">
        <v>34751</v>
      </c>
      <c r="EG45" s="138">
        <v>37363</v>
      </c>
      <c r="EH45" s="138"/>
      <c r="EI45" s="138"/>
      <c r="EJ45" s="138"/>
      <c r="EK45" s="3">
        <v>-9735</v>
      </c>
      <c r="EL45" s="138">
        <v>1958</v>
      </c>
      <c r="EM45" s="138">
        <v>948</v>
      </c>
      <c r="EN45" s="3">
        <v>-6132</v>
      </c>
      <c r="EO45" s="138">
        <v>1091</v>
      </c>
      <c r="EP45" s="138">
        <v>885</v>
      </c>
      <c r="EQ45" s="3">
        <v>-7453</v>
      </c>
      <c r="ER45" s="138">
        <v>141</v>
      </c>
      <c r="ES45" s="138">
        <v>1049</v>
      </c>
      <c r="ET45" s="163">
        <v>7400</v>
      </c>
      <c r="EU45" s="163">
        <v>258</v>
      </c>
      <c r="EV45" s="138">
        <v>6411</v>
      </c>
      <c r="EW45" s="138">
        <v>321</v>
      </c>
      <c r="EX45" s="138">
        <v>6960</v>
      </c>
      <c r="EY45" s="138">
        <v>348</v>
      </c>
      <c r="EZ45" s="138">
        <v>34241</v>
      </c>
      <c r="FA45" s="138">
        <v>31307</v>
      </c>
      <c r="FB45" s="138">
        <v>2934</v>
      </c>
      <c r="FC45" s="138">
        <v>2168</v>
      </c>
      <c r="FD45" s="138">
        <v>37533</v>
      </c>
      <c r="FE45" s="138">
        <v>34279</v>
      </c>
      <c r="FF45" s="138">
        <v>3254</v>
      </c>
      <c r="FG45" s="138">
        <v>2087</v>
      </c>
      <c r="FH45" s="138">
        <v>41114</v>
      </c>
      <c r="FI45" s="138">
        <v>37512</v>
      </c>
      <c r="FJ45" s="138">
        <v>3602</v>
      </c>
      <c r="FK45" s="138">
        <v>1740</v>
      </c>
      <c r="FL45" s="147">
        <v>4834</v>
      </c>
      <c r="FM45" s="147">
        <v>5097.820662119448</v>
      </c>
      <c r="FO45" s="181">
        <f t="shared" si="0"/>
        <v>1693.9240506329113</v>
      </c>
      <c r="FP45" s="179">
        <f t="shared" si="1"/>
        <v>140.00529387824707</v>
      </c>
      <c r="FR45" s="184"/>
      <c r="FV45" s="184">
        <v>2979</v>
      </c>
      <c r="FW45" s="2">
        <f t="shared" si="2"/>
        <v>-2979</v>
      </c>
    </row>
    <row r="46" spans="1:179" ht="12.75">
      <c r="A46" s="82">
        <v>146</v>
      </c>
      <c r="B46" s="80" t="s">
        <v>44</v>
      </c>
      <c r="C46" s="191">
        <v>5834</v>
      </c>
      <c r="D46" s="146"/>
      <c r="E46" s="150">
        <v>10.432098765432098</v>
      </c>
      <c r="F46" s="150">
        <v>32.6</v>
      </c>
      <c r="G46" s="151">
        <v>-887</v>
      </c>
      <c r="H46" s="152"/>
      <c r="I46" s="152"/>
      <c r="J46" s="152"/>
      <c r="K46" s="150">
        <v>62.7</v>
      </c>
      <c r="L46" s="151">
        <v>709</v>
      </c>
      <c r="M46" s="151">
        <v>32</v>
      </c>
      <c r="N46" s="154">
        <v>8114.844017826535</v>
      </c>
      <c r="O46" s="146">
        <v>21171</v>
      </c>
      <c r="P46" s="139">
        <v>7590</v>
      </c>
      <c r="Q46" s="139">
        <v>43923</v>
      </c>
      <c r="R46" s="139">
        <v>-36333</v>
      </c>
      <c r="S46" s="146">
        <v>16474</v>
      </c>
      <c r="T46" s="139">
        <v>21180</v>
      </c>
      <c r="U46" s="160"/>
      <c r="W46" s="138">
        <v>-144</v>
      </c>
      <c r="X46" s="138">
        <v>351</v>
      </c>
      <c r="Y46" s="139">
        <v>1528</v>
      </c>
      <c r="Z46" s="138">
        <v>1307</v>
      </c>
      <c r="AC46" s="139">
        <v>221</v>
      </c>
      <c r="AD46" s="139">
        <v>52</v>
      </c>
      <c r="AF46" s="139"/>
      <c r="AG46" s="139">
        <v>273</v>
      </c>
      <c r="AH46" s="139">
        <v>4924</v>
      </c>
      <c r="AI46" s="139">
        <v>1432</v>
      </c>
      <c r="AJ46" s="176"/>
      <c r="AK46" s="138">
        <v>-109</v>
      </c>
      <c r="AL46" s="151">
        <v>0</v>
      </c>
      <c r="AM46" s="151">
        <v>-703</v>
      </c>
      <c r="AN46" s="146">
        <v>16474</v>
      </c>
      <c r="AO46" s="139">
        <v>12797</v>
      </c>
      <c r="AP46" s="139">
        <v>2807</v>
      </c>
      <c r="AQ46" s="139">
        <v>870</v>
      </c>
      <c r="AR46" s="114">
        <v>19.75</v>
      </c>
      <c r="AS46" s="152"/>
      <c r="AT46" s="138">
        <v>159</v>
      </c>
      <c r="AU46" s="191">
        <v>5693</v>
      </c>
      <c r="AV46" s="146"/>
      <c r="AW46" s="150">
        <v>0.9449367088607595</v>
      </c>
      <c r="AX46" s="150">
        <v>30.5</v>
      </c>
      <c r="AY46" s="151">
        <v>-1199</v>
      </c>
      <c r="AZ46" s="152"/>
      <c r="BA46" s="152"/>
      <c r="BB46" s="152"/>
      <c r="BC46" s="150">
        <v>63.7</v>
      </c>
      <c r="BD46" s="151">
        <v>695</v>
      </c>
      <c r="BE46" s="151">
        <v>29</v>
      </c>
      <c r="BF46" s="154">
        <v>8812.576848761637</v>
      </c>
      <c r="BG46" s="146">
        <v>22077</v>
      </c>
      <c r="BH46" s="139">
        <v>8345</v>
      </c>
      <c r="BI46" s="139">
        <v>45499</v>
      </c>
      <c r="BJ46" s="139">
        <v>-37154</v>
      </c>
      <c r="BK46" s="146">
        <v>16516</v>
      </c>
      <c r="BL46" s="146">
        <v>21563</v>
      </c>
      <c r="BM46" s="160"/>
      <c r="BO46" s="138">
        <v>-94</v>
      </c>
      <c r="BP46" s="138">
        <v>433</v>
      </c>
      <c r="BQ46" s="139">
        <v>1264</v>
      </c>
      <c r="BR46" s="138">
        <v>1266</v>
      </c>
      <c r="BU46" s="139">
        <v>-2</v>
      </c>
      <c r="BV46" s="139">
        <v>49</v>
      </c>
      <c r="BX46" s="139"/>
      <c r="BY46" s="138">
        <v>47</v>
      </c>
      <c r="BZ46" s="139">
        <v>4970</v>
      </c>
      <c r="CA46" s="139">
        <v>1126</v>
      </c>
      <c r="CB46" s="176"/>
      <c r="CC46" s="138">
        <v>2053</v>
      </c>
      <c r="CD46" s="151">
        <v>-1351</v>
      </c>
      <c r="CE46" s="151">
        <v>-1654</v>
      </c>
      <c r="CF46" s="138">
        <v>16516</v>
      </c>
      <c r="CG46" s="139">
        <v>13619</v>
      </c>
      <c r="CH46" s="139">
        <v>1810</v>
      </c>
      <c r="CI46" s="139">
        <v>1087</v>
      </c>
      <c r="CJ46" s="114">
        <v>20.25</v>
      </c>
      <c r="CK46" s="152"/>
      <c r="CL46" s="138">
        <v>100</v>
      </c>
      <c r="CM46" s="190">
        <v>5614</v>
      </c>
      <c r="CN46" s="146"/>
      <c r="CO46" s="150">
        <v>1.2340574632095305</v>
      </c>
      <c r="CP46" s="150">
        <v>27.54586039819732</v>
      </c>
      <c r="CQ46" s="151">
        <v>-1379.7648735304595</v>
      </c>
      <c r="CR46" s="152"/>
      <c r="CS46" s="152"/>
      <c r="CT46" s="152"/>
      <c r="CU46" s="150">
        <v>65.43322713741055</v>
      </c>
      <c r="CV46" s="151">
        <v>424.652654079088</v>
      </c>
      <c r="CW46" s="151">
        <v>17.536477226924628</v>
      </c>
      <c r="CX46" s="154">
        <v>8838.617741360884</v>
      </c>
      <c r="CY46" s="146">
        <v>22358</v>
      </c>
      <c r="CZ46" s="139">
        <v>8768</v>
      </c>
      <c r="DA46" s="139">
        <v>46161</v>
      </c>
      <c r="DB46" s="139">
        <v>-37393</v>
      </c>
      <c r="DC46" s="146">
        <v>16854</v>
      </c>
      <c r="DD46" s="146">
        <v>21892</v>
      </c>
      <c r="DE46" s="160"/>
      <c r="DG46" s="138">
        <v>-144</v>
      </c>
      <c r="DH46" s="138">
        <v>392</v>
      </c>
      <c r="DI46" s="139">
        <v>1601</v>
      </c>
      <c r="DJ46" s="138">
        <v>1523</v>
      </c>
      <c r="DM46" s="139">
        <v>78</v>
      </c>
      <c r="DN46" s="139">
        <v>49</v>
      </c>
      <c r="DP46" s="139"/>
      <c r="DQ46" s="138">
        <v>127</v>
      </c>
      <c r="DR46" s="139">
        <v>4827</v>
      </c>
      <c r="DS46" s="139">
        <v>1569</v>
      </c>
      <c r="DT46" s="176"/>
      <c r="DU46" s="138">
        <v>355</v>
      </c>
      <c r="DV46" s="151">
        <v>-1267</v>
      </c>
      <c r="DW46" s="138">
        <v>-568</v>
      </c>
      <c r="DX46" s="138">
        <v>16854</v>
      </c>
      <c r="DY46" s="146">
        <v>13474</v>
      </c>
      <c r="DZ46" s="196">
        <v>2257</v>
      </c>
      <c r="EA46" s="146">
        <v>1123</v>
      </c>
      <c r="EB46" s="114">
        <v>20.25</v>
      </c>
      <c r="EC46" s="152"/>
      <c r="ED46" s="138">
        <v>150</v>
      </c>
      <c r="EE46" s="138">
        <v>17669</v>
      </c>
      <c r="EF46" s="138">
        <v>18403</v>
      </c>
      <c r="EG46" s="138">
        <v>18657</v>
      </c>
      <c r="EH46" s="138"/>
      <c r="EI46" s="138"/>
      <c r="EJ46" s="138"/>
      <c r="EK46" s="3">
        <v>-2968</v>
      </c>
      <c r="EL46" s="138">
        <v>302</v>
      </c>
      <c r="EM46" s="138">
        <v>531</v>
      </c>
      <c r="EN46" s="3">
        <v>-3108</v>
      </c>
      <c r="EO46" s="138">
        <v>120</v>
      </c>
      <c r="EP46" s="138">
        <v>208</v>
      </c>
      <c r="EQ46" s="3">
        <v>-2275</v>
      </c>
      <c r="ER46" s="138">
        <v>89</v>
      </c>
      <c r="ES46" s="138">
        <v>49</v>
      </c>
      <c r="ET46" s="163">
        <v>3500</v>
      </c>
      <c r="EU46" s="163">
        <v>-1143</v>
      </c>
      <c r="EV46" s="138"/>
      <c r="EW46" s="138"/>
      <c r="EX46" s="138"/>
      <c r="EY46" s="138"/>
      <c r="EZ46" s="138">
        <v>9457</v>
      </c>
      <c r="FA46" s="138">
        <v>8106</v>
      </c>
      <c r="FB46" s="138">
        <v>1351</v>
      </c>
      <c r="FC46" s="138">
        <v>1017</v>
      </c>
      <c r="FD46" s="138">
        <v>8107</v>
      </c>
      <c r="FE46" s="138">
        <v>6851</v>
      </c>
      <c r="FF46" s="138">
        <v>1256</v>
      </c>
      <c r="FG46" s="138">
        <v>1017</v>
      </c>
      <c r="FH46" s="138">
        <v>6839</v>
      </c>
      <c r="FI46" s="138">
        <v>5583</v>
      </c>
      <c r="FJ46" s="138">
        <v>1256</v>
      </c>
      <c r="FK46" s="138">
        <v>1017</v>
      </c>
      <c r="FL46" s="147">
        <v>2894</v>
      </c>
      <c r="FM46" s="147">
        <v>2691.5510275777274</v>
      </c>
      <c r="FO46" s="181">
        <f t="shared" si="0"/>
        <v>665.3827160493827</v>
      </c>
      <c r="FP46" s="179">
        <f t="shared" si="1"/>
        <v>118.52203705902791</v>
      </c>
      <c r="FR46" s="184"/>
      <c r="FV46" s="184">
        <v>0</v>
      </c>
      <c r="FW46" s="2">
        <f t="shared" si="2"/>
        <v>0</v>
      </c>
    </row>
    <row r="47" spans="1:179" ht="12.75">
      <c r="A47" s="82">
        <v>153</v>
      </c>
      <c r="B47" s="80" t="s">
        <v>49</v>
      </c>
      <c r="C47" s="191">
        <v>28472</v>
      </c>
      <c r="D47" s="146"/>
      <c r="E47" s="150">
        <v>1.2401479951815522</v>
      </c>
      <c r="F47" s="150">
        <v>44.3</v>
      </c>
      <c r="G47" s="151">
        <v>-2070</v>
      </c>
      <c r="H47" s="152"/>
      <c r="I47" s="152"/>
      <c r="J47" s="152"/>
      <c r="K47" s="150">
        <v>57.4</v>
      </c>
      <c r="L47" s="151">
        <v>482</v>
      </c>
      <c r="M47" s="151">
        <v>25</v>
      </c>
      <c r="N47" s="154">
        <v>6177.999438044394</v>
      </c>
      <c r="O47" s="146">
        <v>78126</v>
      </c>
      <c r="P47" s="139">
        <v>41562</v>
      </c>
      <c r="Q47" s="139">
        <v>169632</v>
      </c>
      <c r="R47" s="139">
        <v>-128070</v>
      </c>
      <c r="S47" s="146">
        <v>98588</v>
      </c>
      <c r="T47" s="139">
        <v>44831</v>
      </c>
      <c r="U47" s="160"/>
      <c r="W47" s="138">
        <v>-1382</v>
      </c>
      <c r="X47" s="138">
        <v>282</v>
      </c>
      <c r="Y47" s="139">
        <v>14249</v>
      </c>
      <c r="Z47" s="138">
        <v>8426</v>
      </c>
      <c r="AC47" s="139">
        <v>5823</v>
      </c>
      <c r="AD47" s="139"/>
      <c r="AE47" s="139"/>
      <c r="AF47" s="138">
        <v>-185</v>
      </c>
      <c r="AG47" s="139">
        <v>5638</v>
      </c>
      <c r="AH47" s="139">
        <v>33120</v>
      </c>
      <c r="AI47" s="139">
        <v>14429</v>
      </c>
      <c r="AJ47" s="176"/>
      <c r="AK47" s="139">
        <v>720</v>
      </c>
      <c r="AL47" s="151">
        <v>-11458</v>
      </c>
      <c r="AM47" s="151">
        <v>95</v>
      </c>
      <c r="AN47" s="146">
        <v>98588</v>
      </c>
      <c r="AO47" s="139">
        <v>85178</v>
      </c>
      <c r="AP47" s="139">
        <v>6946</v>
      </c>
      <c r="AQ47" s="139">
        <v>6464</v>
      </c>
      <c r="AR47" s="114">
        <v>19.5</v>
      </c>
      <c r="AS47" s="152"/>
      <c r="AT47" s="138">
        <v>40</v>
      </c>
      <c r="AU47" s="191">
        <v>28294</v>
      </c>
      <c r="AV47" s="146"/>
      <c r="AW47" s="150">
        <v>0.7227441555604107</v>
      </c>
      <c r="AX47" s="150">
        <v>43.9</v>
      </c>
      <c r="AY47" s="151">
        <v>-2174</v>
      </c>
      <c r="AZ47" s="152"/>
      <c r="BA47" s="152"/>
      <c r="BB47" s="152"/>
      <c r="BC47" s="150">
        <v>57.5</v>
      </c>
      <c r="BD47" s="151">
        <v>445</v>
      </c>
      <c r="BE47" s="151">
        <v>18</v>
      </c>
      <c r="BF47" s="154">
        <v>9209.408355128297</v>
      </c>
      <c r="BG47" s="146">
        <v>78686</v>
      </c>
      <c r="BH47" s="139">
        <v>45411</v>
      </c>
      <c r="BI47" s="139">
        <v>180873</v>
      </c>
      <c r="BJ47" s="139">
        <v>-135462</v>
      </c>
      <c r="BK47" s="146">
        <v>100002</v>
      </c>
      <c r="BL47" s="146">
        <v>47437</v>
      </c>
      <c r="BM47" s="160"/>
      <c r="BO47" s="138">
        <v>-1128</v>
      </c>
      <c r="BP47" s="138">
        <v>762</v>
      </c>
      <c r="BQ47" s="139">
        <v>11611</v>
      </c>
      <c r="BR47" s="138">
        <v>7499</v>
      </c>
      <c r="BU47" s="139">
        <v>4112</v>
      </c>
      <c r="BV47" s="139"/>
      <c r="BW47" s="139"/>
      <c r="BX47" s="138">
        <v>-218</v>
      </c>
      <c r="BY47" s="138">
        <v>3894</v>
      </c>
      <c r="BZ47" s="139">
        <v>37014</v>
      </c>
      <c r="CA47" s="139">
        <v>9190</v>
      </c>
      <c r="CB47" s="176"/>
      <c r="CC47" s="139">
        <v>-1388</v>
      </c>
      <c r="CD47" s="151">
        <v>-16687</v>
      </c>
      <c r="CE47" s="151">
        <v>-2667</v>
      </c>
      <c r="CF47" s="138">
        <v>100002</v>
      </c>
      <c r="CG47" s="139">
        <v>88517</v>
      </c>
      <c r="CH47" s="139">
        <v>5175</v>
      </c>
      <c r="CI47" s="139">
        <v>6310</v>
      </c>
      <c r="CJ47" s="114">
        <v>19.5</v>
      </c>
      <c r="CK47" s="152"/>
      <c r="CL47" s="138">
        <v>38</v>
      </c>
      <c r="CM47" s="190">
        <v>28219</v>
      </c>
      <c r="CN47" s="146"/>
      <c r="CO47" s="150">
        <v>1.260215053763441</v>
      </c>
      <c r="CP47" s="150">
        <v>41.567580443456336</v>
      </c>
      <c r="CQ47" s="151">
        <v>-2229.3844572805556</v>
      </c>
      <c r="CR47" s="152"/>
      <c r="CS47" s="152"/>
      <c r="CT47" s="152"/>
      <c r="CU47" s="150">
        <v>58.33841667534554</v>
      </c>
      <c r="CV47" s="151">
        <v>356.07214996987847</v>
      </c>
      <c r="CW47" s="151">
        <v>16.312558933940615</v>
      </c>
      <c r="CX47" s="154">
        <v>7967.256104043375</v>
      </c>
      <c r="CY47" s="146">
        <v>79080</v>
      </c>
      <c r="CZ47" s="139">
        <v>48953</v>
      </c>
      <c r="DA47" s="139">
        <v>187041</v>
      </c>
      <c r="DB47" s="139">
        <v>-138088</v>
      </c>
      <c r="DC47" s="146">
        <v>103610</v>
      </c>
      <c r="DD47" s="146">
        <v>48945</v>
      </c>
      <c r="DE47" s="160"/>
      <c r="DG47" s="138">
        <v>-985</v>
      </c>
      <c r="DH47" s="138">
        <v>984</v>
      </c>
      <c r="DI47" s="139">
        <v>14466</v>
      </c>
      <c r="DJ47" s="138">
        <v>11618</v>
      </c>
      <c r="DM47" s="139">
        <v>2848</v>
      </c>
      <c r="DN47" s="139"/>
      <c r="DO47" s="139"/>
      <c r="DP47" s="138">
        <v>-236</v>
      </c>
      <c r="DQ47" s="138">
        <v>2612</v>
      </c>
      <c r="DR47" s="139">
        <v>39626</v>
      </c>
      <c r="DS47" s="139">
        <v>9009</v>
      </c>
      <c r="DT47" s="176"/>
      <c r="DU47" s="139">
        <v>-213</v>
      </c>
      <c r="DV47" s="151">
        <v>-11199</v>
      </c>
      <c r="DW47" s="138">
        <v>-1753</v>
      </c>
      <c r="DX47" s="138">
        <v>103610</v>
      </c>
      <c r="DY47" s="146">
        <v>90633</v>
      </c>
      <c r="DZ47" s="196">
        <v>6113</v>
      </c>
      <c r="EA47" s="146">
        <v>6864</v>
      </c>
      <c r="EB47" s="114">
        <v>19.5</v>
      </c>
      <c r="EC47" s="152"/>
      <c r="ED47" s="138">
        <v>54</v>
      </c>
      <c r="EE47" s="138">
        <v>60712</v>
      </c>
      <c r="EF47" s="138">
        <v>65122</v>
      </c>
      <c r="EG47" s="138">
        <v>70146</v>
      </c>
      <c r="EH47" s="138"/>
      <c r="EI47" s="138"/>
      <c r="EJ47" s="138"/>
      <c r="EK47" s="3">
        <v>-16309</v>
      </c>
      <c r="EL47" s="138">
        <v>1319</v>
      </c>
      <c r="EM47" s="138">
        <v>656</v>
      </c>
      <c r="EN47" s="3">
        <v>-61372</v>
      </c>
      <c r="EO47" s="138">
        <v>305</v>
      </c>
      <c r="EP47" s="138">
        <v>49210</v>
      </c>
      <c r="EQ47" s="3">
        <v>-25189</v>
      </c>
      <c r="ER47" s="138">
        <v>760</v>
      </c>
      <c r="ES47" s="138">
        <v>13667</v>
      </c>
      <c r="ET47" s="163"/>
      <c r="EU47" s="163"/>
      <c r="EV47" s="138">
        <v>14600</v>
      </c>
      <c r="EW47" s="138"/>
      <c r="EX47" s="138">
        <v>11000</v>
      </c>
      <c r="EY47" s="138"/>
      <c r="EZ47" s="138">
        <v>50526</v>
      </c>
      <c r="FA47" s="138">
        <v>40440</v>
      </c>
      <c r="FB47" s="138">
        <v>10086</v>
      </c>
      <c r="FC47" s="138">
        <v>0</v>
      </c>
      <c r="FD47" s="138">
        <v>48440</v>
      </c>
      <c r="FE47" s="138">
        <v>37242</v>
      </c>
      <c r="FF47" s="138">
        <v>11198</v>
      </c>
      <c r="FG47" s="138">
        <v>0</v>
      </c>
      <c r="FH47" s="138">
        <v>48241</v>
      </c>
      <c r="FI47" s="138">
        <v>36984</v>
      </c>
      <c r="FJ47" s="138">
        <v>11257</v>
      </c>
      <c r="FK47" s="138">
        <v>0</v>
      </c>
      <c r="FL47" s="147">
        <v>5276</v>
      </c>
      <c r="FM47" s="147">
        <v>5511.875309252845</v>
      </c>
      <c r="FO47" s="181">
        <f t="shared" si="0"/>
        <v>4647.846153846154</v>
      </c>
      <c r="FP47" s="179">
        <f t="shared" si="1"/>
        <v>164.7062671904091</v>
      </c>
      <c r="FR47" s="184"/>
      <c r="FV47" s="184">
        <v>11458</v>
      </c>
      <c r="FW47" s="2">
        <f t="shared" si="2"/>
        <v>-11458</v>
      </c>
    </row>
    <row r="48" spans="1:179" ht="12.75">
      <c r="A48" s="82">
        <v>148</v>
      </c>
      <c r="B48" s="80" t="s">
        <v>45</v>
      </c>
      <c r="C48" s="191">
        <v>6754</v>
      </c>
      <c r="D48" s="146"/>
      <c r="E48" s="150">
        <v>2.064754098360656</v>
      </c>
      <c r="F48" s="150">
        <v>41.3</v>
      </c>
      <c r="G48" s="151">
        <v>-1136</v>
      </c>
      <c r="H48" s="152"/>
      <c r="I48" s="152"/>
      <c r="J48" s="152"/>
      <c r="K48" s="150">
        <v>63.6</v>
      </c>
      <c r="L48" s="151">
        <v>948</v>
      </c>
      <c r="M48" s="151">
        <v>43</v>
      </c>
      <c r="N48" s="154">
        <v>10950.843944329286</v>
      </c>
      <c r="O48" s="146">
        <v>22432</v>
      </c>
      <c r="P48" s="139">
        <v>8041</v>
      </c>
      <c r="Q48" s="139">
        <v>45659</v>
      </c>
      <c r="R48" s="139">
        <v>-37618</v>
      </c>
      <c r="S48" s="146">
        <v>22728</v>
      </c>
      <c r="T48" s="139">
        <v>19955</v>
      </c>
      <c r="U48" s="160"/>
      <c r="W48" s="138">
        <v>-312</v>
      </c>
      <c r="X48" s="138">
        <v>774</v>
      </c>
      <c r="Y48" s="139">
        <v>5527</v>
      </c>
      <c r="Z48" s="138">
        <v>2350</v>
      </c>
      <c r="AC48" s="139">
        <v>3177</v>
      </c>
      <c r="AE48" s="139">
        <v>-206</v>
      </c>
      <c r="AF48" s="139">
        <v>64</v>
      </c>
      <c r="AG48" s="139">
        <v>3035</v>
      </c>
      <c r="AH48" s="139">
        <v>3035</v>
      </c>
      <c r="AI48" s="139">
        <v>5327</v>
      </c>
      <c r="AJ48" s="176"/>
      <c r="AK48" s="139">
        <v>-622</v>
      </c>
      <c r="AL48" s="151">
        <v>-1630</v>
      </c>
      <c r="AM48" s="151">
        <v>127</v>
      </c>
      <c r="AN48" s="146">
        <v>22728</v>
      </c>
      <c r="AO48" s="139">
        <v>16814</v>
      </c>
      <c r="AP48" s="139">
        <v>2457</v>
      </c>
      <c r="AQ48" s="139">
        <v>3457</v>
      </c>
      <c r="AR48" s="114">
        <v>19</v>
      </c>
      <c r="AS48" s="152"/>
      <c r="AT48" s="138">
        <v>12</v>
      </c>
      <c r="AU48" s="191">
        <v>6732</v>
      </c>
      <c r="AV48" s="146"/>
      <c r="AW48" s="150">
        <v>1.6629082426127528</v>
      </c>
      <c r="AX48" s="150">
        <v>37.7</v>
      </c>
      <c r="AY48" s="151">
        <v>-1413</v>
      </c>
      <c r="AZ48" s="152"/>
      <c r="BA48" s="152"/>
      <c r="BB48" s="152"/>
      <c r="BC48" s="150">
        <v>66.2</v>
      </c>
      <c r="BD48" s="151">
        <v>549</v>
      </c>
      <c r="BE48" s="151">
        <v>23</v>
      </c>
      <c r="BF48" s="154">
        <v>8748.217468805704</v>
      </c>
      <c r="BG48" s="146">
        <v>24033</v>
      </c>
      <c r="BH48" s="139">
        <v>8144</v>
      </c>
      <c r="BI48" s="139">
        <v>49111</v>
      </c>
      <c r="BJ48" s="139">
        <v>-40967</v>
      </c>
      <c r="BK48" s="146">
        <v>22730</v>
      </c>
      <c r="BL48" s="146">
        <v>21520</v>
      </c>
      <c r="BM48" s="160"/>
      <c r="BO48" s="138">
        <v>-316</v>
      </c>
      <c r="BP48" s="138">
        <v>806</v>
      </c>
      <c r="BQ48" s="139">
        <v>3773</v>
      </c>
      <c r="BR48" s="138">
        <v>1883</v>
      </c>
      <c r="BU48" s="139">
        <v>1890</v>
      </c>
      <c r="BW48" s="139">
        <v>236</v>
      </c>
      <c r="BX48" s="139">
        <v>-112</v>
      </c>
      <c r="BY48" s="138">
        <v>2014</v>
      </c>
      <c r="BZ48" s="139">
        <v>2086</v>
      </c>
      <c r="CA48" s="139">
        <v>3074</v>
      </c>
      <c r="CB48" s="176"/>
      <c r="CC48" s="139">
        <v>352</v>
      </c>
      <c r="CD48" s="151">
        <v>-2068</v>
      </c>
      <c r="CE48" s="151">
        <v>663</v>
      </c>
      <c r="CF48" s="138">
        <v>22730</v>
      </c>
      <c r="CG48" s="139">
        <v>17496</v>
      </c>
      <c r="CH48" s="139">
        <v>1625</v>
      </c>
      <c r="CI48" s="139">
        <v>3609</v>
      </c>
      <c r="CJ48" s="114">
        <v>19</v>
      </c>
      <c r="CK48" s="152"/>
      <c r="CL48" s="138">
        <v>15</v>
      </c>
      <c r="CM48" s="190">
        <v>6794</v>
      </c>
      <c r="CN48" s="146"/>
      <c r="CO48" s="150">
        <v>2.320053715308863</v>
      </c>
      <c r="CP48" s="150">
        <v>39.33783609695051</v>
      </c>
      <c r="CQ48" s="151">
        <v>-1236.2378569325876</v>
      </c>
      <c r="CR48" s="152"/>
      <c r="CS48" s="152"/>
      <c r="CT48" s="152"/>
      <c r="CU48" s="150">
        <v>65.98566080832434</v>
      </c>
      <c r="CV48" s="151">
        <v>936.4144833676775</v>
      </c>
      <c r="CW48" s="151">
        <v>40.55272257343439</v>
      </c>
      <c r="CX48" s="154">
        <v>8428.319105092729</v>
      </c>
      <c r="CY48" s="146">
        <v>23016</v>
      </c>
      <c r="CZ48" s="139">
        <v>7705</v>
      </c>
      <c r="DA48" s="139">
        <v>50062</v>
      </c>
      <c r="DB48" s="139">
        <v>-42357</v>
      </c>
      <c r="DC48" s="146">
        <v>24467</v>
      </c>
      <c r="DD48" s="146">
        <v>22165</v>
      </c>
      <c r="DE48" s="160"/>
      <c r="DG48" s="138">
        <v>-283</v>
      </c>
      <c r="DH48" s="138">
        <v>732</v>
      </c>
      <c r="DI48" s="139">
        <v>4724</v>
      </c>
      <c r="DJ48" s="138">
        <v>1811</v>
      </c>
      <c r="DL48" s="138">
        <v>93</v>
      </c>
      <c r="DM48" s="139">
        <v>2820</v>
      </c>
      <c r="DO48" s="139">
        <v>348</v>
      </c>
      <c r="DP48" s="139">
        <v>-32</v>
      </c>
      <c r="DQ48" s="138">
        <v>3136</v>
      </c>
      <c r="DR48" s="139">
        <v>3445</v>
      </c>
      <c r="DS48" s="139">
        <v>4438</v>
      </c>
      <c r="DT48" s="176"/>
      <c r="DU48" s="139">
        <v>-71</v>
      </c>
      <c r="DV48" s="151">
        <v>-1775</v>
      </c>
      <c r="DW48" s="138">
        <v>1037</v>
      </c>
      <c r="DX48" s="138">
        <v>24467</v>
      </c>
      <c r="DY48" s="146">
        <v>18821</v>
      </c>
      <c r="DZ48" s="196">
        <v>1809</v>
      </c>
      <c r="EA48" s="146">
        <v>3837</v>
      </c>
      <c r="EB48" s="114">
        <v>19</v>
      </c>
      <c r="EC48" s="152"/>
      <c r="ED48" s="138">
        <v>21</v>
      </c>
      <c r="EE48" s="138">
        <v>17169</v>
      </c>
      <c r="EF48" s="138">
        <v>18987</v>
      </c>
      <c r="EG48" s="138">
        <v>20244</v>
      </c>
      <c r="EH48" s="138"/>
      <c r="EI48" s="138"/>
      <c r="EJ48" s="138"/>
      <c r="EK48" s="3">
        <v>-6809</v>
      </c>
      <c r="EL48" s="138">
        <v>1120</v>
      </c>
      <c r="EM48" s="138">
        <v>489</v>
      </c>
      <c r="EN48" s="3">
        <v>-4633</v>
      </c>
      <c r="EO48" s="138">
        <v>58</v>
      </c>
      <c r="EP48" s="138">
        <v>2164</v>
      </c>
      <c r="EQ48" s="3">
        <v>-4956</v>
      </c>
      <c r="ER48" s="138">
        <v>563</v>
      </c>
      <c r="ES48" s="138">
        <v>992</v>
      </c>
      <c r="ET48" s="163"/>
      <c r="EU48" s="163"/>
      <c r="EV48" s="138"/>
      <c r="EW48" s="138">
        <v>600</v>
      </c>
      <c r="EX48" s="138">
        <v>2599</v>
      </c>
      <c r="EY48" s="138">
        <v>-300</v>
      </c>
      <c r="EZ48" s="138">
        <v>15380</v>
      </c>
      <c r="FA48" s="138">
        <v>13812</v>
      </c>
      <c r="FB48" s="138">
        <v>1568</v>
      </c>
      <c r="FC48" s="138">
        <v>945</v>
      </c>
      <c r="FD48" s="138">
        <v>13313</v>
      </c>
      <c r="FE48" s="138">
        <v>11743</v>
      </c>
      <c r="FF48" s="138">
        <v>1570</v>
      </c>
      <c r="FG48" s="138">
        <v>3444</v>
      </c>
      <c r="FH48" s="138">
        <v>14137</v>
      </c>
      <c r="FI48" s="138">
        <v>12567</v>
      </c>
      <c r="FJ48" s="138">
        <v>1570</v>
      </c>
      <c r="FK48" s="138">
        <v>3376</v>
      </c>
      <c r="FL48" s="147">
        <v>6597</v>
      </c>
      <c r="FM48" s="147">
        <v>6698.45513963161</v>
      </c>
      <c r="FO48" s="181">
        <f t="shared" si="0"/>
        <v>990.578947368421</v>
      </c>
      <c r="FP48" s="179">
        <f t="shared" si="1"/>
        <v>145.80202345723006</v>
      </c>
      <c r="FR48" s="184"/>
      <c r="FV48" s="184">
        <v>1630</v>
      </c>
      <c r="FW48" s="2">
        <f t="shared" si="2"/>
        <v>-1630</v>
      </c>
    </row>
    <row r="49" spans="1:179" ht="12.75">
      <c r="A49" s="82">
        <v>149</v>
      </c>
      <c r="B49" s="80" t="s">
        <v>46</v>
      </c>
      <c r="C49" s="191">
        <v>5561</v>
      </c>
      <c r="D49" s="146"/>
      <c r="E49" s="150">
        <v>1.28014440433213</v>
      </c>
      <c r="F49" s="150">
        <v>51.6</v>
      </c>
      <c r="G49" s="151">
        <v>-2581</v>
      </c>
      <c r="H49" s="152"/>
      <c r="I49" s="152"/>
      <c r="J49" s="152"/>
      <c r="K49" s="150">
        <v>39.4</v>
      </c>
      <c r="L49" s="151">
        <v>88</v>
      </c>
      <c r="M49" s="151">
        <v>5</v>
      </c>
      <c r="N49" s="154">
        <v>6756.338787987772</v>
      </c>
      <c r="O49" s="146">
        <v>6670</v>
      </c>
      <c r="P49" s="139">
        <v>2741</v>
      </c>
      <c r="Q49" s="139">
        <v>28537</v>
      </c>
      <c r="R49" s="139">
        <v>-25796</v>
      </c>
      <c r="S49" s="146">
        <v>23739</v>
      </c>
      <c r="T49" s="139">
        <v>5314</v>
      </c>
      <c r="U49" s="160"/>
      <c r="W49" s="138">
        <v>-295</v>
      </c>
      <c r="X49" s="138">
        <v>53</v>
      </c>
      <c r="Y49" s="139">
        <v>3015</v>
      </c>
      <c r="Z49" s="138">
        <v>1106</v>
      </c>
      <c r="AA49" s="139"/>
      <c r="AB49" s="139"/>
      <c r="AC49" s="139">
        <v>1909</v>
      </c>
      <c r="AG49" s="139">
        <v>1909</v>
      </c>
      <c r="AH49" s="139">
        <v>2889</v>
      </c>
      <c r="AI49" s="139">
        <v>2790</v>
      </c>
      <c r="AJ49" s="176"/>
      <c r="AK49" s="138">
        <v>607</v>
      </c>
      <c r="AL49" s="151">
        <v>-2239</v>
      </c>
      <c r="AM49" s="151">
        <v>1425</v>
      </c>
      <c r="AN49" s="146">
        <v>23739</v>
      </c>
      <c r="AO49" s="139">
        <v>19455</v>
      </c>
      <c r="AP49" s="139">
        <v>2433</v>
      </c>
      <c r="AQ49" s="139">
        <v>1851</v>
      </c>
      <c r="AR49" s="114">
        <v>20.75</v>
      </c>
      <c r="AS49" s="152"/>
      <c r="AT49" s="138">
        <v>28</v>
      </c>
      <c r="AU49" s="191">
        <v>5538</v>
      </c>
      <c r="AV49" s="146"/>
      <c r="AW49" s="150">
        <v>1.3480730223123731</v>
      </c>
      <c r="AX49" s="150">
        <v>56.5</v>
      </c>
      <c r="AY49" s="151">
        <v>-2723</v>
      </c>
      <c r="AZ49" s="152"/>
      <c r="BA49" s="152"/>
      <c r="BB49" s="152"/>
      <c r="BC49" s="150">
        <v>40.5</v>
      </c>
      <c r="BD49" s="151">
        <v>324</v>
      </c>
      <c r="BE49" s="151">
        <v>17</v>
      </c>
      <c r="BF49" s="154">
        <v>6817.262549656916</v>
      </c>
      <c r="BG49" s="146">
        <v>7067</v>
      </c>
      <c r="BH49" s="139">
        <v>2432</v>
      </c>
      <c r="BI49" s="139">
        <v>29422</v>
      </c>
      <c r="BJ49" s="139">
        <v>-26990</v>
      </c>
      <c r="BK49" s="146">
        <v>24581</v>
      </c>
      <c r="BL49" s="146">
        <v>5675</v>
      </c>
      <c r="BM49" s="160"/>
      <c r="BO49" s="138">
        <v>-226</v>
      </c>
      <c r="BP49" s="138">
        <v>57</v>
      </c>
      <c r="BQ49" s="139">
        <v>3097</v>
      </c>
      <c r="BR49" s="138">
        <v>1214</v>
      </c>
      <c r="BS49" s="139"/>
      <c r="BT49" s="139"/>
      <c r="BU49" s="139">
        <v>1883</v>
      </c>
      <c r="BY49" s="138">
        <v>1883</v>
      </c>
      <c r="BZ49" s="139">
        <v>4772</v>
      </c>
      <c r="CA49" s="139">
        <v>3085</v>
      </c>
      <c r="CB49" s="176"/>
      <c r="CC49" s="138">
        <v>5</v>
      </c>
      <c r="CD49" s="151">
        <v>-2239</v>
      </c>
      <c r="CE49" s="151">
        <v>-715</v>
      </c>
      <c r="CF49" s="138">
        <v>24581</v>
      </c>
      <c r="CG49" s="139">
        <v>19956</v>
      </c>
      <c r="CH49" s="139">
        <v>2566</v>
      </c>
      <c r="CI49" s="139">
        <v>2059</v>
      </c>
      <c r="CJ49" s="114">
        <v>20.75</v>
      </c>
      <c r="CK49" s="152"/>
      <c r="CL49" s="138">
        <v>16</v>
      </c>
      <c r="CM49" s="190">
        <v>5562</v>
      </c>
      <c r="CN49" s="146"/>
      <c r="CO49" s="150">
        <v>0.9040807740849811</v>
      </c>
      <c r="CP49" s="150">
        <v>50.4572817781894</v>
      </c>
      <c r="CQ49" s="151">
        <v>-2642.5746134483998</v>
      </c>
      <c r="CR49" s="152"/>
      <c r="CS49" s="152"/>
      <c r="CT49" s="152"/>
      <c r="CU49" s="150">
        <v>42.950349057219285</v>
      </c>
      <c r="CV49" s="151">
        <v>154.4408486156059</v>
      </c>
      <c r="CW49" s="151">
        <v>8.564424048731187</v>
      </c>
      <c r="CX49" s="154">
        <v>6581.984897518878</v>
      </c>
      <c r="CY49" s="146">
        <v>11723</v>
      </c>
      <c r="CZ49" s="139">
        <v>3763</v>
      </c>
      <c r="DA49" s="139">
        <v>32508</v>
      </c>
      <c r="DB49" s="139">
        <v>-28745</v>
      </c>
      <c r="DC49" s="146">
        <v>25402</v>
      </c>
      <c r="DD49" s="146">
        <v>5387</v>
      </c>
      <c r="DE49" s="160"/>
      <c r="DG49" s="138">
        <v>-162</v>
      </c>
      <c r="DH49" s="138">
        <v>105</v>
      </c>
      <c r="DI49" s="139">
        <v>1987</v>
      </c>
      <c r="DJ49" s="138">
        <v>1375</v>
      </c>
      <c r="DK49" s="139"/>
      <c r="DL49" s="139"/>
      <c r="DM49" s="139">
        <v>612</v>
      </c>
      <c r="DQ49" s="138">
        <v>612</v>
      </c>
      <c r="DR49" s="139">
        <v>5375</v>
      </c>
      <c r="DS49" s="139">
        <v>1935</v>
      </c>
      <c r="DT49" s="176"/>
      <c r="DU49" s="138">
        <v>-308</v>
      </c>
      <c r="DV49" s="151">
        <v>-2215</v>
      </c>
      <c r="DW49" s="138">
        <v>379</v>
      </c>
      <c r="DX49" s="138">
        <v>25402</v>
      </c>
      <c r="DY49" s="146">
        <v>21102</v>
      </c>
      <c r="DZ49" s="196">
        <v>2340</v>
      </c>
      <c r="EA49" s="146">
        <v>1960</v>
      </c>
      <c r="EB49" s="114">
        <v>20.75</v>
      </c>
      <c r="EC49" s="152"/>
      <c r="ED49" s="138">
        <v>107</v>
      </c>
      <c r="EE49" s="138">
        <v>20136</v>
      </c>
      <c r="EF49" s="138">
        <v>20567</v>
      </c>
      <c r="EG49" s="138">
        <v>17726</v>
      </c>
      <c r="EH49" s="138"/>
      <c r="EI49" s="138"/>
      <c r="EJ49" s="138"/>
      <c r="EK49" s="3">
        <v>-1727</v>
      </c>
      <c r="EL49" s="138"/>
      <c r="EM49" s="138">
        <v>362</v>
      </c>
      <c r="EN49" s="3">
        <v>-6009</v>
      </c>
      <c r="EO49" s="138">
        <v>1875</v>
      </c>
      <c r="EP49" s="138">
        <v>334</v>
      </c>
      <c r="EQ49" s="3">
        <v>-1713</v>
      </c>
      <c r="ER49" s="138">
        <v>94</v>
      </c>
      <c r="ES49" s="138">
        <v>63</v>
      </c>
      <c r="ET49" s="163">
        <v>1500</v>
      </c>
      <c r="EU49" s="163">
        <v>-2100</v>
      </c>
      <c r="EV49" s="138">
        <v>3903</v>
      </c>
      <c r="EW49" s="138"/>
      <c r="EX49" s="138"/>
      <c r="EY49" s="138">
        <v>1000</v>
      </c>
      <c r="EZ49" s="138">
        <v>13911</v>
      </c>
      <c r="FA49" s="138">
        <v>10172</v>
      </c>
      <c r="FB49" s="138">
        <v>3739</v>
      </c>
      <c r="FC49" s="138">
        <v>0</v>
      </c>
      <c r="FD49" s="138">
        <v>15574</v>
      </c>
      <c r="FE49" s="138">
        <v>11859</v>
      </c>
      <c r="FF49" s="138">
        <v>3715</v>
      </c>
      <c r="FG49" s="138">
        <v>0</v>
      </c>
      <c r="FH49" s="138">
        <v>14359</v>
      </c>
      <c r="FI49" s="138">
        <v>9779</v>
      </c>
      <c r="FJ49" s="138">
        <v>4580</v>
      </c>
      <c r="FK49" s="138">
        <v>0</v>
      </c>
      <c r="FL49" s="147">
        <v>3357</v>
      </c>
      <c r="FM49" s="147">
        <v>3781.6901408450703</v>
      </c>
      <c r="FO49" s="181">
        <f t="shared" si="0"/>
        <v>1016.9638554216867</v>
      </c>
      <c r="FP49" s="179">
        <f t="shared" si="1"/>
        <v>182.84139795427666</v>
      </c>
      <c r="FR49" s="184"/>
      <c r="FV49" s="184">
        <v>2239</v>
      </c>
      <c r="FW49" s="2">
        <f t="shared" si="2"/>
        <v>-2239</v>
      </c>
    </row>
    <row r="50" spans="1:179" ht="12.75">
      <c r="A50" s="82">
        <v>151</v>
      </c>
      <c r="B50" s="80" t="s">
        <v>47</v>
      </c>
      <c r="C50" s="191">
        <v>2354</v>
      </c>
      <c r="D50" s="146"/>
      <c r="E50" s="150">
        <v>0.2579957356076759</v>
      </c>
      <c r="F50" s="150">
        <v>13.8</v>
      </c>
      <c r="G50" s="151">
        <v>-399</v>
      </c>
      <c r="H50" s="152"/>
      <c r="I50" s="152"/>
      <c r="J50" s="152"/>
      <c r="K50" s="150">
        <v>79.8</v>
      </c>
      <c r="L50" s="151">
        <v>402</v>
      </c>
      <c r="M50" s="151">
        <v>20</v>
      </c>
      <c r="N50" s="154">
        <v>8557.349192863212</v>
      </c>
      <c r="O50" s="146">
        <v>4041</v>
      </c>
      <c r="P50" s="139">
        <v>2071</v>
      </c>
      <c r="Q50" s="139">
        <v>16138</v>
      </c>
      <c r="R50" s="139">
        <v>-14067</v>
      </c>
      <c r="S50" s="146">
        <v>5817</v>
      </c>
      <c r="T50" s="139">
        <v>8075</v>
      </c>
      <c r="U50" s="160"/>
      <c r="W50" s="138">
        <v>-17</v>
      </c>
      <c r="X50" s="138">
        <v>16</v>
      </c>
      <c r="Y50" s="139">
        <v>-176</v>
      </c>
      <c r="Z50" s="138">
        <v>387</v>
      </c>
      <c r="AC50" s="139">
        <v>-563</v>
      </c>
      <c r="AD50" s="139">
        <v>2</v>
      </c>
      <c r="AE50" s="139"/>
      <c r="AG50" s="139">
        <v>-561</v>
      </c>
      <c r="AH50" s="139">
        <v>1595</v>
      </c>
      <c r="AI50" s="139">
        <v>-191</v>
      </c>
      <c r="AJ50" s="176"/>
      <c r="AK50" s="139">
        <v>104</v>
      </c>
      <c r="AL50" s="151">
        <v>-172</v>
      </c>
      <c r="AM50" s="151">
        <v>-944</v>
      </c>
      <c r="AN50" s="146">
        <v>5817</v>
      </c>
      <c r="AO50" s="139">
        <v>4872</v>
      </c>
      <c r="AP50" s="139">
        <v>693</v>
      </c>
      <c r="AQ50" s="139">
        <v>252</v>
      </c>
      <c r="AR50" s="114">
        <v>20.5</v>
      </c>
      <c r="AS50" s="152"/>
      <c r="AT50" s="138">
        <v>304</v>
      </c>
      <c r="AU50" s="191">
        <v>2290</v>
      </c>
      <c r="AV50" s="146"/>
      <c r="AW50" s="150">
        <v>-1.0551470588235294</v>
      </c>
      <c r="AX50" s="150">
        <v>16.1</v>
      </c>
      <c r="AY50" s="151">
        <v>-843</v>
      </c>
      <c r="AZ50" s="152"/>
      <c r="BA50" s="152"/>
      <c r="BB50" s="152"/>
      <c r="BC50" s="150">
        <v>76.1</v>
      </c>
      <c r="BD50" s="151">
        <v>175</v>
      </c>
      <c r="BE50" s="151">
        <v>8</v>
      </c>
      <c r="BF50" s="154">
        <v>7810.043668122271</v>
      </c>
      <c r="BG50" s="146">
        <v>4121</v>
      </c>
      <c r="BH50" s="139">
        <v>2352</v>
      </c>
      <c r="BI50" s="139">
        <v>16833</v>
      </c>
      <c r="BJ50" s="139">
        <v>-14481</v>
      </c>
      <c r="BK50" s="146">
        <v>5809</v>
      </c>
      <c r="BL50" s="146">
        <v>8355</v>
      </c>
      <c r="BM50" s="160"/>
      <c r="BO50" s="138">
        <v>-24</v>
      </c>
      <c r="BP50" s="138">
        <v>29</v>
      </c>
      <c r="BQ50" s="139">
        <v>-312</v>
      </c>
      <c r="BR50" s="138">
        <v>385</v>
      </c>
      <c r="BU50" s="139">
        <v>-697</v>
      </c>
      <c r="BV50" s="139">
        <v>2</v>
      </c>
      <c r="BW50" s="139"/>
      <c r="BY50" s="138">
        <v>-695</v>
      </c>
      <c r="BZ50" s="139">
        <v>900</v>
      </c>
      <c r="CA50" s="139">
        <v>-314</v>
      </c>
      <c r="CB50" s="176"/>
      <c r="CC50" s="139">
        <v>-14</v>
      </c>
      <c r="CD50" s="151">
        <v>-247</v>
      </c>
      <c r="CE50" s="151">
        <v>-1000</v>
      </c>
      <c r="CF50" s="138">
        <v>5809</v>
      </c>
      <c r="CG50" s="139">
        <v>5068</v>
      </c>
      <c r="CH50" s="139">
        <v>449</v>
      </c>
      <c r="CI50" s="139">
        <v>292</v>
      </c>
      <c r="CJ50" s="114">
        <v>21</v>
      </c>
      <c r="CK50" s="152"/>
      <c r="CL50" s="138">
        <v>292</v>
      </c>
      <c r="CM50" s="190">
        <v>2257</v>
      </c>
      <c r="CN50" s="146"/>
      <c r="CO50" s="150">
        <v>0.9381443298969072</v>
      </c>
      <c r="CP50" s="150">
        <v>23.9034819792303</v>
      </c>
      <c r="CQ50" s="151">
        <v>-1216.6592822330526</v>
      </c>
      <c r="CR50" s="152"/>
      <c r="CS50" s="152"/>
      <c r="CT50" s="152"/>
      <c r="CU50" s="150">
        <v>72.15117931230463</v>
      </c>
      <c r="CV50" s="151">
        <v>206.46876384581304</v>
      </c>
      <c r="CW50" s="151">
        <v>10.005882698982292</v>
      </c>
      <c r="CX50" s="154">
        <v>7531.6792202038105</v>
      </c>
      <c r="CY50" s="146">
        <v>3772</v>
      </c>
      <c r="CZ50" s="139">
        <v>2130</v>
      </c>
      <c r="DA50" s="139">
        <v>16131</v>
      </c>
      <c r="DB50" s="139">
        <v>-14001</v>
      </c>
      <c r="DC50" s="146">
        <v>6086</v>
      </c>
      <c r="DD50" s="146">
        <v>8154</v>
      </c>
      <c r="DE50" s="160"/>
      <c r="DG50" s="138">
        <v>-31</v>
      </c>
      <c r="DH50" s="138">
        <v>34</v>
      </c>
      <c r="DI50" s="139">
        <v>242</v>
      </c>
      <c r="DJ50" s="138">
        <v>459</v>
      </c>
      <c r="DM50" s="139">
        <v>-217</v>
      </c>
      <c r="DN50" s="139">
        <v>3</v>
      </c>
      <c r="DO50" s="139"/>
      <c r="DQ50" s="138">
        <v>-214</v>
      </c>
      <c r="DR50" s="139">
        <v>684</v>
      </c>
      <c r="DS50" s="139">
        <v>-368</v>
      </c>
      <c r="DT50" s="176"/>
      <c r="DU50" s="139">
        <v>-369</v>
      </c>
      <c r="DV50" s="151">
        <v>-260</v>
      </c>
      <c r="DW50" s="138">
        <v>-794</v>
      </c>
      <c r="DX50" s="138">
        <v>6086</v>
      </c>
      <c r="DY50" s="146">
        <v>5282</v>
      </c>
      <c r="DZ50" s="196">
        <v>483</v>
      </c>
      <c r="EA50" s="146">
        <v>321</v>
      </c>
      <c r="EB50" s="114">
        <v>21.75</v>
      </c>
      <c r="EC50" s="152"/>
      <c r="ED50" s="138">
        <v>244</v>
      </c>
      <c r="EE50" s="138">
        <v>10753</v>
      </c>
      <c r="EF50" s="138">
        <v>11222</v>
      </c>
      <c r="EG50" s="138">
        <v>11026</v>
      </c>
      <c r="EH50" s="138"/>
      <c r="EI50" s="138"/>
      <c r="EJ50" s="138"/>
      <c r="EK50" s="3">
        <v>-771</v>
      </c>
      <c r="EL50" s="138"/>
      <c r="EM50" s="138">
        <v>18</v>
      </c>
      <c r="EN50" s="3">
        <v>-770</v>
      </c>
      <c r="EO50" s="138">
        <v>84</v>
      </c>
      <c r="EP50" s="138"/>
      <c r="EQ50" s="3">
        <v>-557</v>
      </c>
      <c r="ES50" s="138">
        <v>132</v>
      </c>
      <c r="ET50" s="163"/>
      <c r="EU50" s="163"/>
      <c r="EV50" s="138">
        <v>500</v>
      </c>
      <c r="EW50" s="138">
        <v>350</v>
      </c>
      <c r="EX50" s="138">
        <v>1050</v>
      </c>
      <c r="EY50" s="138">
        <v>200</v>
      </c>
      <c r="EZ50" s="138">
        <v>609</v>
      </c>
      <c r="FA50" s="138">
        <v>437</v>
      </c>
      <c r="FB50" s="138">
        <v>172</v>
      </c>
      <c r="FC50" s="138">
        <v>42</v>
      </c>
      <c r="FD50" s="138">
        <v>1212</v>
      </c>
      <c r="FE50" s="138">
        <v>690</v>
      </c>
      <c r="FF50" s="138">
        <v>522</v>
      </c>
      <c r="FG50" s="138">
        <v>31</v>
      </c>
      <c r="FH50" s="138">
        <v>2202</v>
      </c>
      <c r="FI50" s="138">
        <v>1462</v>
      </c>
      <c r="FJ50" s="138">
        <v>740</v>
      </c>
      <c r="FK50" s="138">
        <v>25</v>
      </c>
      <c r="FL50" s="147">
        <v>675</v>
      </c>
      <c r="FM50" s="147">
        <v>1069.8689956331878</v>
      </c>
      <c r="FO50" s="181">
        <f t="shared" si="0"/>
        <v>242.8505747126437</v>
      </c>
      <c r="FP50" s="179">
        <f t="shared" si="1"/>
        <v>107.59883682438799</v>
      </c>
      <c r="FR50" s="184"/>
      <c r="FV50" s="184">
        <v>172</v>
      </c>
      <c r="FW50" s="2">
        <f t="shared" si="2"/>
        <v>-172</v>
      </c>
    </row>
    <row r="51" spans="1:179" ht="12.75">
      <c r="A51" s="82">
        <v>152</v>
      </c>
      <c r="B51" s="80" t="s">
        <v>48</v>
      </c>
      <c r="C51" s="191">
        <v>4936</v>
      </c>
      <c r="D51" s="146"/>
      <c r="E51" s="150">
        <v>0.8467406380027739</v>
      </c>
      <c r="F51" s="150">
        <v>33.3</v>
      </c>
      <c r="G51" s="151">
        <v>-874</v>
      </c>
      <c r="H51" s="152"/>
      <c r="I51" s="152"/>
      <c r="J51" s="152"/>
      <c r="K51" s="150">
        <v>61.6</v>
      </c>
      <c r="L51" s="151">
        <v>720</v>
      </c>
      <c r="M51" s="151">
        <v>41</v>
      </c>
      <c r="N51" s="154">
        <v>5784.035656401945</v>
      </c>
      <c r="O51" s="146">
        <v>10869</v>
      </c>
      <c r="P51" s="139">
        <v>3475</v>
      </c>
      <c r="Q51" s="139">
        <v>27434</v>
      </c>
      <c r="R51" s="139">
        <v>-23959</v>
      </c>
      <c r="S51" s="146">
        <v>13460</v>
      </c>
      <c r="T51" s="139">
        <v>11786</v>
      </c>
      <c r="U51" s="160"/>
      <c r="W51" s="138">
        <v>-125</v>
      </c>
      <c r="X51" s="138">
        <v>37</v>
      </c>
      <c r="Y51" s="139">
        <v>1199</v>
      </c>
      <c r="Z51" s="138">
        <v>625</v>
      </c>
      <c r="AC51" s="139">
        <v>574</v>
      </c>
      <c r="AD51" s="139">
        <v>61</v>
      </c>
      <c r="AG51" s="139">
        <v>635</v>
      </c>
      <c r="AH51" s="139">
        <v>4357</v>
      </c>
      <c r="AI51" s="139">
        <v>1199</v>
      </c>
      <c r="AJ51" s="176"/>
      <c r="AK51" s="139">
        <v>11</v>
      </c>
      <c r="AL51" s="151">
        <v>-1420</v>
      </c>
      <c r="AM51" s="151">
        <v>-908</v>
      </c>
      <c r="AN51" s="146">
        <v>13460</v>
      </c>
      <c r="AO51" s="139">
        <v>12321</v>
      </c>
      <c r="AP51" s="139">
        <v>643</v>
      </c>
      <c r="AQ51" s="139">
        <v>496</v>
      </c>
      <c r="AR51" s="114">
        <v>20.25</v>
      </c>
      <c r="AS51" s="152"/>
      <c r="AT51" s="138">
        <v>167</v>
      </c>
      <c r="AU51" s="191">
        <v>4886</v>
      </c>
      <c r="AV51" s="146"/>
      <c r="AW51" s="150">
        <v>0.5858585858585859</v>
      </c>
      <c r="AX51" s="150">
        <v>38.3</v>
      </c>
      <c r="AY51" s="151">
        <v>-1582</v>
      </c>
      <c r="AZ51" s="152"/>
      <c r="BA51" s="152"/>
      <c r="BB51" s="152"/>
      <c r="BC51" s="150">
        <v>58.5</v>
      </c>
      <c r="BD51" s="151">
        <v>433</v>
      </c>
      <c r="BE51" s="151">
        <v>22</v>
      </c>
      <c r="BF51" s="154">
        <v>7218.993041342611</v>
      </c>
      <c r="BG51" s="146">
        <v>11776</v>
      </c>
      <c r="BH51" s="139">
        <v>3660</v>
      </c>
      <c r="BI51" s="139">
        <v>28393</v>
      </c>
      <c r="BJ51" s="139">
        <v>-24733</v>
      </c>
      <c r="BK51" s="146">
        <v>14004</v>
      </c>
      <c r="BL51" s="146">
        <v>11908</v>
      </c>
      <c r="BM51" s="160"/>
      <c r="BO51" s="138">
        <v>-146</v>
      </c>
      <c r="BP51" s="138">
        <v>21</v>
      </c>
      <c r="BQ51" s="139">
        <v>1054</v>
      </c>
      <c r="BR51" s="138">
        <v>707</v>
      </c>
      <c r="BS51" s="138">
        <v>162</v>
      </c>
      <c r="BU51" s="139">
        <v>509</v>
      </c>
      <c r="BV51" s="139">
        <v>5</v>
      </c>
      <c r="BY51" s="138">
        <v>514</v>
      </c>
      <c r="BZ51" s="139">
        <v>4872</v>
      </c>
      <c r="CA51" s="139">
        <v>1054</v>
      </c>
      <c r="CB51" s="176"/>
      <c r="CC51" s="139">
        <v>207</v>
      </c>
      <c r="CD51" s="151">
        <v>-1915</v>
      </c>
      <c r="CE51" s="151">
        <v>-3384</v>
      </c>
      <c r="CF51" s="138">
        <v>14004</v>
      </c>
      <c r="CG51" s="139">
        <v>12923</v>
      </c>
      <c r="CH51" s="139">
        <v>493</v>
      </c>
      <c r="CI51" s="139">
        <v>588</v>
      </c>
      <c r="CJ51" s="114">
        <v>20.5</v>
      </c>
      <c r="CK51" s="152"/>
      <c r="CL51" s="138">
        <v>104</v>
      </c>
      <c r="CM51" s="190">
        <v>4854</v>
      </c>
      <c r="CN51" s="146"/>
      <c r="CO51" s="150">
        <v>0.5078341013824885</v>
      </c>
      <c r="CP51" s="150">
        <v>39.59370904325033</v>
      </c>
      <c r="CQ51" s="151">
        <v>-1504.9443757725587</v>
      </c>
      <c r="CR51" s="152"/>
      <c r="CS51" s="152"/>
      <c r="CT51" s="152"/>
      <c r="CU51" s="150">
        <v>56.33102852203976</v>
      </c>
      <c r="CV51" s="151">
        <v>655.3358055212196</v>
      </c>
      <c r="CW51" s="151">
        <v>35.21900688567355</v>
      </c>
      <c r="CX51" s="154">
        <v>6791.7181705809635</v>
      </c>
      <c r="CY51" s="146">
        <v>11917</v>
      </c>
      <c r="CZ51" s="139">
        <v>3861</v>
      </c>
      <c r="DA51" s="139">
        <v>29444</v>
      </c>
      <c r="DB51" s="139">
        <v>-25583</v>
      </c>
      <c r="DC51" s="146">
        <v>14705</v>
      </c>
      <c r="DD51" s="146">
        <v>11954</v>
      </c>
      <c r="DE51" s="160"/>
      <c r="DG51" s="138">
        <v>-137</v>
      </c>
      <c r="DH51" s="138">
        <v>13</v>
      </c>
      <c r="DI51" s="139">
        <v>952</v>
      </c>
      <c r="DJ51" s="138">
        <v>1138</v>
      </c>
      <c r="DM51" s="139">
        <v>-186</v>
      </c>
      <c r="DN51" s="139">
        <v>27</v>
      </c>
      <c r="DQ51" s="138">
        <v>-159</v>
      </c>
      <c r="DR51" s="139">
        <v>4455</v>
      </c>
      <c r="DS51" s="139">
        <v>925</v>
      </c>
      <c r="DT51" s="176"/>
      <c r="DU51" s="139">
        <v>-112</v>
      </c>
      <c r="DV51" s="151">
        <v>-2020</v>
      </c>
      <c r="DW51" s="138">
        <v>425</v>
      </c>
      <c r="DX51" s="138">
        <v>14705</v>
      </c>
      <c r="DY51" s="146">
        <v>13456</v>
      </c>
      <c r="DZ51" s="196">
        <v>517</v>
      </c>
      <c r="EA51" s="146">
        <v>732</v>
      </c>
      <c r="EB51" s="114">
        <v>20.5</v>
      </c>
      <c r="EC51" s="152"/>
      <c r="ED51" s="138">
        <v>200</v>
      </c>
      <c r="EE51" s="138">
        <v>13487</v>
      </c>
      <c r="EF51" s="138">
        <v>13501</v>
      </c>
      <c r="EG51" s="138">
        <v>14296</v>
      </c>
      <c r="EH51" s="138"/>
      <c r="EI51" s="138"/>
      <c r="EJ51" s="138"/>
      <c r="EK51" s="3">
        <v>-2505</v>
      </c>
      <c r="EL51" s="138">
        <v>353</v>
      </c>
      <c r="EM51" s="138">
        <v>45</v>
      </c>
      <c r="EN51" s="3">
        <v>-4786</v>
      </c>
      <c r="EO51" s="138">
        <v>75</v>
      </c>
      <c r="EP51" s="138">
        <v>273</v>
      </c>
      <c r="EQ51" s="3">
        <v>-1348</v>
      </c>
      <c r="ER51" s="138">
        <v>788</v>
      </c>
      <c r="ES51" s="138">
        <v>60</v>
      </c>
      <c r="ET51" s="163">
        <v>2000</v>
      </c>
      <c r="EU51" s="163"/>
      <c r="EV51" s="138">
        <v>3500</v>
      </c>
      <c r="EW51" s="138"/>
      <c r="EX51" s="138">
        <v>2000</v>
      </c>
      <c r="EY51" s="138"/>
      <c r="EZ51" s="138">
        <v>5860</v>
      </c>
      <c r="FA51" s="138">
        <v>4120</v>
      </c>
      <c r="FB51" s="138">
        <v>1740</v>
      </c>
      <c r="FC51" s="138">
        <v>431</v>
      </c>
      <c r="FD51" s="138">
        <v>7445</v>
      </c>
      <c r="FE51" s="138">
        <v>5525</v>
      </c>
      <c r="FF51" s="138">
        <v>1920</v>
      </c>
      <c r="FG51" s="138">
        <v>431</v>
      </c>
      <c r="FH51" s="138">
        <v>7425</v>
      </c>
      <c r="FI51" s="138">
        <v>5475</v>
      </c>
      <c r="FJ51" s="138">
        <v>1950</v>
      </c>
      <c r="FK51" s="138">
        <v>431</v>
      </c>
      <c r="FL51" s="147">
        <v>2669</v>
      </c>
      <c r="FM51" s="147">
        <v>3020.8759721653705</v>
      </c>
      <c r="FO51" s="181">
        <f t="shared" si="0"/>
        <v>656.390243902439</v>
      </c>
      <c r="FP51" s="179">
        <f t="shared" si="1"/>
        <v>135.2266674706302</v>
      </c>
      <c r="FR51" s="184"/>
      <c r="FV51" s="184">
        <v>1420</v>
      </c>
      <c r="FW51" s="2">
        <f t="shared" si="2"/>
        <v>-1420</v>
      </c>
    </row>
    <row r="52" spans="1:179" ht="12.75">
      <c r="A52" s="82">
        <v>164</v>
      </c>
      <c r="B52" s="80" t="s">
        <v>50</v>
      </c>
      <c r="C52" s="191">
        <v>8130</v>
      </c>
      <c r="D52" s="146"/>
      <c r="E52" s="150">
        <v>-19.5123010130246</v>
      </c>
      <c r="F52" s="150">
        <v>29.1</v>
      </c>
      <c r="G52" s="151">
        <v>906</v>
      </c>
      <c r="H52" s="152"/>
      <c r="I52" s="152"/>
      <c r="J52" s="152"/>
      <c r="K52" s="150">
        <v>33.5</v>
      </c>
      <c r="L52" s="151">
        <v>1921</v>
      </c>
      <c r="M52" s="151">
        <v>77</v>
      </c>
      <c r="N52" s="154">
        <v>9117.589175891759</v>
      </c>
      <c r="O52" s="146">
        <v>30925</v>
      </c>
      <c r="P52" s="139">
        <v>24388</v>
      </c>
      <c r="Q52" s="139">
        <v>69655</v>
      </c>
      <c r="R52" s="139">
        <v>-45267</v>
      </c>
      <c r="S52" s="146">
        <v>22000</v>
      </c>
      <c r="T52" s="139">
        <v>-4136</v>
      </c>
      <c r="U52" s="160"/>
      <c r="W52" s="138">
        <v>241</v>
      </c>
      <c r="X52" s="138">
        <v>126</v>
      </c>
      <c r="Y52" s="139">
        <v>-27036</v>
      </c>
      <c r="Z52" s="138">
        <v>2686</v>
      </c>
      <c r="AC52" s="139">
        <v>-29722</v>
      </c>
      <c r="AF52" s="139">
        <v>24</v>
      </c>
      <c r="AG52" s="139">
        <v>-29698</v>
      </c>
      <c r="AH52" s="139">
        <v>-13841</v>
      </c>
      <c r="AI52" s="139">
        <v>2871</v>
      </c>
      <c r="AJ52" s="176"/>
      <c r="AK52" s="139">
        <v>-317</v>
      </c>
      <c r="AL52" s="151">
        <v>-1312</v>
      </c>
      <c r="AM52" s="151">
        <v>593</v>
      </c>
      <c r="AN52" s="146">
        <v>22000</v>
      </c>
      <c r="AO52" s="139">
        <v>19079</v>
      </c>
      <c r="AP52" s="139">
        <v>1741</v>
      </c>
      <c r="AQ52" s="139">
        <v>1180</v>
      </c>
      <c r="AR52" s="114">
        <v>20.5</v>
      </c>
      <c r="AS52" s="152"/>
      <c r="AT52" s="138">
        <v>320</v>
      </c>
      <c r="AU52" s="191">
        <v>8071</v>
      </c>
      <c r="AV52" s="146"/>
      <c r="AW52" s="150">
        <v>-0.4757142857142857</v>
      </c>
      <c r="AX52" s="150">
        <v>57.5</v>
      </c>
      <c r="AY52" s="151">
        <v>-3333</v>
      </c>
      <c r="AZ52" s="152"/>
      <c r="BA52" s="152"/>
      <c r="BB52" s="152"/>
      <c r="BC52" s="150">
        <v>31.6</v>
      </c>
      <c r="BD52" s="151">
        <v>1196</v>
      </c>
      <c r="BE52" s="151">
        <v>46</v>
      </c>
      <c r="BF52" s="154">
        <v>9556.68442572172</v>
      </c>
      <c r="BG52" s="146">
        <v>32220</v>
      </c>
      <c r="BH52" s="139">
        <v>24757</v>
      </c>
      <c r="BI52" s="139">
        <v>70401</v>
      </c>
      <c r="BJ52" s="139">
        <v>-45644</v>
      </c>
      <c r="BK52" s="146">
        <v>21933</v>
      </c>
      <c r="BL52" s="146">
        <v>22989</v>
      </c>
      <c r="BM52" s="160"/>
      <c r="BO52" s="138">
        <v>249</v>
      </c>
      <c r="BP52" s="138">
        <v>94</v>
      </c>
      <c r="BQ52" s="139">
        <v>-379</v>
      </c>
      <c r="BR52" s="138">
        <v>2535</v>
      </c>
      <c r="BU52" s="139">
        <v>-2914</v>
      </c>
      <c r="BX52" s="139">
        <v>139</v>
      </c>
      <c r="BY52" s="138">
        <v>-2775</v>
      </c>
      <c r="BZ52" s="139">
        <v>-16617</v>
      </c>
      <c r="CA52" s="139">
        <v>-1045</v>
      </c>
      <c r="CB52" s="176"/>
      <c r="CC52" s="139">
        <v>517</v>
      </c>
      <c r="CD52" s="151">
        <v>-654</v>
      </c>
      <c r="CE52" s="151">
        <v>-3730</v>
      </c>
      <c r="CF52" s="138">
        <v>21933</v>
      </c>
      <c r="CG52" s="139">
        <v>19431</v>
      </c>
      <c r="CH52" s="139">
        <v>1297</v>
      </c>
      <c r="CI52" s="139">
        <v>1205</v>
      </c>
      <c r="CJ52" s="114">
        <v>20.5</v>
      </c>
      <c r="CK52" s="152"/>
      <c r="CL52" s="138">
        <v>268</v>
      </c>
      <c r="CM52" s="190">
        <v>7987</v>
      </c>
      <c r="CN52" s="146"/>
      <c r="CO52" s="150">
        <v>-0.4968407050216162</v>
      </c>
      <c r="CP52" s="150">
        <v>72.53349375650365</v>
      </c>
      <c r="CQ52" s="151">
        <v>-4108.300989107299</v>
      </c>
      <c r="CR52" s="152"/>
      <c r="CS52" s="152"/>
      <c r="CT52" s="152"/>
      <c r="CU52" s="150">
        <v>31.469417023938483</v>
      </c>
      <c r="CV52" s="151">
        <v>1000.3756103668462</v>
      </c>
      <c r="CW52" s="151">
        <v>32.01367772813594</v>
      </c>
      <c r="CX52" s="154">
        <v>11405.659196193816</v>
      </c>
      <c r="CY52" s="146">
        <v>27393</v>
      </c>
      <c r="CZ52" s="139">
        <v>19243</v>
      </c>
      <c r="DA52" s="139">
        <v>66165</v>
      </c>
      <c r="DB52" s="139">
        <v>-46922</v>
      </c>
      <c r="DC52" s="146">
        <v>23460</v>
      </c>
      <c r="DD52" s="146">
        <v>18801</v>
      </c>
      <c r="DE52" s="160"/>
      <c r="DG52" s="138">
        <v>121</v>
      </c>
      <c r="DH52" s="138">
        <v>37</v>
      </c>
      <c r="DI52" s="139">
        <v>-4503</v>
      </c>
      <c r="DJ52" s="138">
        <v>2461</v>
      </c>
      <c r="DK52" s="138">
        <v>8936</v>
      </c>
      <c r="DM52" s="139">
        <v>1972</v>
      </c>
      <c r="DP52" s="139">
        <v>33</v>
      </c>
      <c r="DQ52" s="138">
        <v>2005</v>
      </c>
      <c r="DR52" s="139">
        <v>-14613</v>
      </c>
      <c r="DS52" s="139">
        <v>-4706</v>
      </c>
      <c r="DT52" s="176"/>
      <c r="DU52" s="139">
        <v>532</v>
      </c>
      <c r="DV52" s="151">
        <v>-9000</v>
      </c>
      <c r="DW52" s="138">
        <v>7663</v>
      </c>
      <c r="DX52" s="138">
        <v>23460</v>
      </c>
      <c r="DY52" s="146">
        <v>20576</v>
      </c>
      <c r="DZ52" s="196">
        <v>1604</v>
      </c>
      <c r="EA52" s="146">
        <v>1280</v>
      </c>
      <c r="EB52" s="114">
        <v>20.5</v>
      </c>
      <c r="EC52" s="152"/>
      <c r="ED52" s="138">
        <v>304</v>
      </c>
      <c r="EE52" s="138">
        <v>30831</v>
      </c>
      <c r="EF52" s="138">
        <v>29657</v>
      </c>
      <c r="EG52" s="138">
        <v>31475</v>
      </c>
      <c r="EH52" s="138"/>
      <c r="EI52" s="138"/>
      <c r="EJ52" s="138">
        <v>1000</v>
      </c>
      <c r="EK52" s="3">
        <v>-3027</v>
      </c>
      <c r="EL52" s="138">
        <v>528</v>
      </c>
      <c r="EM52" s="138">
        <v>221</v>
      </c>
      <c r="EN52" s="3">
        <v>-5806</v>
      </c>
      <c r="EO52" s="138">
        <v>64</v>
      </c>
      <c r="EP52" s="138">
        <v>3057</v>
      </c>
      <c r="EQ52" s="3">
        <v>-2094</v>
      </c>
      <c r="ER52" s="138">
        <v>78</v>
      </c>
      <c r="ES52" s="138">
        <v>14385</v>
      </c>
      <c r="ET52" s="163"/>
      <c r="EU52" s="163">
        <v>1000</v>
      </c>
      <c r="EV52" s="138"/>
      <c r="EW52" s="138">
        <v>-996</v>
      </c>
      <c r="EX52" s="138">
        <v>4847</v>
      </c>
      <c r="EY52" s="138">
        <v>8307</v>
      </c>
      <c r="EZ52" s="138">
        <v>3754</v>
      </c>
      <c r="FA52" s="138">
        <v>2100</v>
      </c>
      <c r="FB52" s="138">
        <v>1654</v>
      </c>
      <c r="FC52" s="138">
        <v>2065</v>
      </c>
      <c r="FD52" s="138">
        <v>2104</v>
      </c>
      <c r="FE52" s="138">
        <v>1600</v>
      </c>
      <c r="FF52" s="138">
        <v>504</v>
      </c>
      <c r="FG52" s="138">
        <v>2156</v>
      </c>
      <c r="FH52" s="138">
        <v>10600</v>
      </c>
      <c r="FI52" s="138">
        <v>1100</v>
      </c>
      <c r="FJ52" s="138">
        <v>9500</v>
      </c>
      <c r="FK52" s="138">
        <v>15702</v>
      </c>
      <c r="FL52" s="147">
        <v>1756</v>
      </c>
      <c r="FM52" s="147">
        <v>1594.3501424854417</v>
      </c>
      <c r="FO52" s="181">
        <f t="shared" si="0"/>
        <v>1003.7073170731708</v>
      </c>
      <c r="FP52" s="179">
        <f t="shared" si="1"/>
        <v>125.66762452399784</v>
      </c>
      <c r="FR52" s="184"/>
      <c r="FV52" s="184">
        <v>1312</v>
      </c>
      <c r="FW52" s="2">
        <f t="shared" si="2"/>
        <v>-1312</v>
      </c>
    </row>
    <row r="53" spans="1:179" ht="12.75">
      <c r="A53" s="82">
        <v>165</v>
      </c>
      <c r="B53" s="80" t="s">
        <v>51</v>
      </c>
      <c r="C53" s="191">
        <v>16960</v>
      </c>
      <c r="D53" s="146"/>
      <c r="E53" s="150">
        <v>0.6542865985762921</v>
      </c>
      <c r="F53" s="150">
        <v>47.1</v>
      </c>
      <c r="G53" s="151">
        <v>-2109</v>
      </c>
      <c r="H53" s="152"/>
      <c r="I53" s="152"/>
      <c r="J53" s="152"/>
      <c r="K53" s="150">
        <v>53.5</v>
      </c>
      <c r="L53" s="151">
        <v>346</v>
      </c>
      <c r="M53" s="151">
        <v>21</v>
      </c>
      <c r="N53" s="154">
        <v>6056.839622641509</v>
      </c>
      <c r="O53" s="146">
        <v>43566</v>
      </c>
      <c r="P53" s="139">
        <v>18162</v>
      </c>
      <c r="Q53" s="139">
        <v>91089</v>
      </c>
      <c r="R53" s="139">
        <v>-72927</v>
      </c>
      <c r="S53" s="146">
        <v>53575</v>
      </c>
      <c r="T53" s="139">
        <v>23293</v>
      </c>
      <c r="U53" s="160"/>
      <c r="W53" s="138">
        <v>-656</v>
      </c>
      <c r="X53" s="138">
        <v>104</v>
      </c>
      <c r="Y53" s="139">
        <v>3389</v>
      </c>
      <c r="Z53" s="138">
        <v>3990</v>
      </c>
      <c r="AC53" s="139">
        <v>-601</v>
      </c>
      <c r="AD53" s="139">
        <v>97</v>
      </c>
      <c r="AE53" s="139"/>
      <c r="AG53" s="139">
        <v>-504</v>
      </c>
      <c r="AH53" s="139">
        <v>3952</v>
      </c>
      <c r="AI53" s="139">
        <v>2628</v>
      </c>
      <c r="AJ53" s="176"/>
      <c r="AK53" s="139">
        <v>38</v>
      </c>
      <c r="AL53" s="151">
        <v>-5623</v>
      </c>
      <c r="AM53" s="151">
        <v>-1880</v>
      </c>
      <c r="AN53" s="146">
        <v>53575</v>
      </c>
      <c r="AO53" s="139">
        <v>48576</v>
      </c>
      <c r="AP53" s="139">
        <v>2252</v>
      </c>
      <c r="AQ53" s="139">
        <v>2747</v>
      </c>
      <c r="AR53" s="114">
        <v>19.5</v>
      </c>
      <c r="AS53" s="152"/>
      <c r="AT53" s="138">
        <v>202</v>
      </c>
      <c r="AU53" s="191">
        <v>16921</v>
      </c>
      <c r="AV53" s="146"/>
      <c r="AW53" s="150">
        <v>0.37300843486410495</v>
      </c>
      <c r="AX53" s="150">
        <v>50.7</v>
      </c>
      <c r="AY53" s="151">
        <v>-2509</v>
      </c>
      <c r="AZ53" s="152"/>
      <c r="BA53" s="152"/>
      <c r="BB53" s="152"/>
      <c r="BC53" s="150">
        <v>49.6</v>
      </c>
      <c r="BD53" s="151">
        <v>258</v>
      </c>
      <c r="BE53" s="151">
        <v>14</v>
      </c>
      <c r="BF53" s="154">
        <v>6525.50085692335</v>
      </c>
      <c r="BG53" s="146">
        <v>45624</v>
      </c>
      <c r="BH53" s="139">
        <v>18693</v>
      </c>
      <c r="BI53" s="139">
        <v>95976</v>
      </c>
      <c r="BJ53" s="139">
        <v>-77283</v>
      </c>
      <c r="BK53" s="146">
        <v>55381</v>
      </c>
      <c r="BL53" s="146">
        <v>24088</v>
      </c>
      <c r="BM53" s="160"/>
      <c r="BO53" s="138">
        <v>-727</v>
      </c>
      <c r="BP53" s="138">
        <v>107</v>
      </c>
      <c r="BQ53" s="139">
        <v>1566</v>
      </c>
      <c r="BR53" s="138">
        <v>3904</v>
      </c>
      <c r="BU53" s="139">
        <v>-2338</v>
      </c>
      <c r="BV53" s="139">
        <v>97</v>
      </c>
      <c r="BW53" s="139">
        <v>500</v>
      </c>
      <c r="BY53" s="138">
        <v>-1741</v>
      </c>
      <c r="BZ53" s="139">
        <v>2212</v>
      </c>
      <c r="CA53" s="139">
        <v>1284</v>
      </c>
      <c r="CB53" s="176"/>
      <c r="CC53" s="139">
        <v>145</v>
      </c>
      <c r="CD53" s="151">
        <v>-5580</v>
      </c>
      <c r="CE53" s="151">
        <v>-6519</v>
      </c>
      <c r="CF53" s="138">
        <v>55381</v>
      </c>
      <c r="CG53" s="139">
        <v>51254</v>
      </c>
      <c r="CH53" s="139">
        <v>1825</v>
      </c>
      <c r="CI53" s="139">
        <v>2302</v>
      </c>
      <c r="CJ53" s="114">
        <v>19.75</v>
      </c>
      <c r="CK53" s="152"/>
      <c r="CL53" s="138">
        <v>194</v>
      </c>
      <c r="CM53" s="190">
        <v>16842</v>
      </c>
      <c r="CN53" s="146"/>
      <c r="CO53" s="150">
        <v>0.7900552486187845</v>
      </c>
      <c r="CP53" s="150">
        <v>54.987720734417024</v>
      </c>
      <c r="CQ53" s="151">
        <v>-2664.4697779361118</v>
      </c>
      <c r="CR53" s="152"/>
      <c r="CS53" s="152"/>
      <c r="CT53" s="152"/>
      <c r="CU53" s="150">
        <v>45.737350439671324</v>
      </c>
      <c r="CV53" s="151">
        <v>461.8216363852274</v>
      </c>
      <c r="CW53" s="151">
        <v>25.562718915171214</v>
      </c>
      <c r="CX53" s="154">
        <v>6594.169338558366</v>
      </c>
      <c r="CY53" s="146">
        <v>44964</v>
      </c>
      <c r="CZ53" s="139">
        <v>19578</v>
      </c>
      <c r="DA53" s="139">
        <v>98127</v>
      </c>
      <c r="DB53" s="139">
        <v>-78549</v>
      </c>
      <c r="DC53" s="146">
        <v>59066</v>
      </c>
      <c r="DD53" s="146">
        <v>24124</v>
      </c>
      <c r="DE53" s="160"/>
      <c r="DG53" s="138">
        <v>-461</v>
      </c>
      <c r="DH53" s="138">
        <v>122</v>
      </c>
      <c r="DI53" s="139">
        <v>4302</v>
      </c>
      <c r="DJ53" s="138">
        <v>5674</v>
      </c>
      <c r="DM53" s="139">
        <v>-1372</v>
      </c>
      <c r="DN53" s="139">
        <v>97</v>
      </c>
      <c r="DO53" s="139">
        <v>500</v>
      </c>
      <c r="DQ53" s="138">
        <v>-775</v>
      </c>
      <c r="DR53" s="139">
        <v>1436</v>
      </c>
      <c r="DS53" s="139">
        <v>3748</v>
      </c>
      <c r="DT53" s="176"/>
      <c r="DU53" s="139">
        <v>-903</v>
      </c>
      <c r="DV53" s="151">
        <v>-5594</v>
      </c>
      <c r="DW53" s="138">
        <v>-2441</v>
      </c>
      <c r="DX53" s="138">
        <v>59066</v>
      </c>
      <c r="DY53" s="146">
        <v>54468</v>
      </c>
      <c r="DZ53" s="196">
        <v>1771</v>
      </c>
      <c r="EA53" s="146">
        <v>2827</v>
      </c>
      <c r="EB53" s="114">
        <v>19.75</v>
      </c>
      <c r="EC53" s="152"/>
      <c r="ED53" s="138">
        <v>170</v>
      </c>
      <c r="EE53" s="138">
        <v>34346</v>
      </c>
      <c r="EF53" s="138">
        <v>36503</v>
      </c>
      <c r="EG53" s="138">
        <v>38545</v>
      </c>
      <c r="EH53" s="138"/>
      <c r="EI53" s="138"/>
      <c r="EJ53" s="138"/>
      <c r="EK53" s="3">
        <v>-5440</v>
      </c>
      <c r="EL53" s="138"/>
      <c r="EM53" s="138">
        <v>932</v>
      </c>
      <c r="EN53" s="3">
        <v>-8175</v>
      </c>
      <c r="EO53" s="138">
        <v>40</v>
      </c>
      <c r="EP53" s="138">
        <v>332</v>
      </c>
      <c r="EQ53" s="3">
        <v>-6931</v>
      </c>
      <c r="ER53" s="138">
        <v>94</v>
      </c>
      <c r="ES53" s="138">
        <v>648</v>
      </c>
      <c r="ET53" s="163">
        <v>2500</v>
      </c>
      <c r="EU53" s="163">
        <v>-218</v>
      </c>
      <c r="EV53" s="138">
        <v>9525</v>
      </c>
      <c r="EW53" s="138">
        <v>207</v>
      </c>
      <c r="EX53" s="138">
        <v>11190</v>
      </c>
      <c r="EY53" s="138">
        <v>-6</v>
      </c>
      <c r="EZ53" s="138">
        <v>32441</v>
      </c>
      <c r="FA53" s="138">
        <v>26955</v>
      </c>
      <c r="FB53" s="138">
        <v>5486</v>
      </c>
      <c r="FC53" s="138">
        <v>1028</v>
      </c>
      <c r="FD53" s="138">
        <v>36593</v>
      </c>
      <c r="FE53" s="138">
        <v>30517</v>
      </c>
      <c r="FF53" s="138">
        <v>6076</v>
      </c>
      <c r="FG53" s="138">
        <v>1028</v>
      </c>
      <c r="FH53" s="138">
        <v>42183</v>
      </c>
      <c r="FI53" s="138">
        <v>36151</v>
      </c>
      <c r="FJ53" s="138">
        <v>6032</v>
      </c>
      <c r="FK53" s="138">
        <v>1028</v>
      </c>
      <c r="FL53" s="147">
        <v>3574</v>
      </c>
      <c r="FM53" s="147">
        <v>3844.9264227882513</v>
      </c>
      <c r="FO53" s="181">
        <f t="shared" si="0"/>
        <v>2757.8734177215188</v>
      </c>
      <c r="FP53" s="179">
        <f t="shared" si="1"/>
        <v>163.74975761320027</v>
      </c>
      <c r="FR53" s="184"/>
      <c r="FV53" s="184">
        <v>5623</v>
      </c>
      <c r="FW53" s="2">
        <f t="shared" si="2"/>
        <v>-5623</v>
      </c>
    </row>
    <row r="54" spans="1:179" ht="12.75">
      <c r="A54" s="82">
        <v>167</v>
      </c>
      <c r="B54" s="80" t="s">
        <v>52</v>
      </c>
      <c r="C54" s="191">
        <v>73758</v>
      </c>
      <c r="D54" s="146"/>
      <c r="E54" s="150">
        <v>2.122368307983157</v>
      </c>
      <c r="F54" s="150">
        <v>32.8</v>
      </c>
      <c r="G54" s="151">
        <v>-854</v>
      </c>
      <c r="H54" s="152"/>
      <c r="I54" s="152"/>
      <c r="J54" s="152"/>
      <c r="K54" s="150">
        <v>65.3</v>
      </c>
      <c r="L54" s="151">
        <v>947</v>
      </c>
      <c r="M54" s="151">
        <v>51</v>
      </c>
      <c r="N54" s="154">
        <v>6834.133246563085</v>
      </c>
      <c r="O54" s="146">
        <v>212782</v>
      </c>
      <c r="P54" s="139">
        <v>105758</v>
      </c>
      <c r="Q54" s="139">
        <v>447147</v>
      </c>
      <c r="R54" s="139">
        <v>-341389</v>
      </c>
      <c r="S54" s="146">
        <v>223500</v>
      </c>
      <c r="T54" s="139">
        <v>140636</v>
      </c>
      <c r="U54" s="160"/>
      <c r="W54" s="138">
        <v>-916</v>
      </c>
      <c r="X54" s="138">
        <v>676</v>
      </c>
      <c r="Y54" s="139">
        <v>22507</v>
      </c>
      <c r="Z54" s="138">
        <v>21654</v>
      </c>
      <c r="AA54" s="139"/>
      <c r="AC54" s="139">
        <v>853</v>
      </c>
      <c r="AD54" s="139">
        <v>-873</v>
      </c>
      <c r="AE54" s="139">
        <v>4855</v>
      </c>
      <c r="AF54" s="139">
        <v>-5</v>
      </c>
      <c r="AG54" s="139">
        <v>4830</v>
      </c>
      <c r="AH54" s="139">
        <v>23537</v>
      </c>
      <c r="AI54" s="139">
        <v>18154</v>
      </c>
      <c r="AJ54" s="176"/>
      <c r="AK54" s="139">
        <v>-1091</v>
      </c>
      <c r="AL54" s="151">
        <v>-9446</v>
      </c>
      <c r="AM54" s="151">
        <v>-16355</v>
      </c>
      <c r="AN54" s="146">
        <v>223500</v>
      </c>
      <c r="AO54" s="139">
        <v>188547</v>
      </c>
      <c r="AP54" s="139">
        <v>18582</v>
      </c>
      <c r="AQ54" s="139">
        <v>16371</v>
      </c>
      <c r="AR54" s="114">
        <v>19.5</v>
      </c>
      <c r="AS54" s="152"/>
      <c r="AT54" s="138">
        <v>122</v>
      </c>
      <c r="AU54" s="191">
        <v>74168</v>
      </c>
      <c r="AV54" s="146"/>
      <c r="AW54" s="150">
        <v>0.913372394867611</v>
      </c>
      <c r="AX54" s="150">
        <v>37.7</v>
      </c>
      <c r="AY54" s="151">
        <v>-1182</v>
      </c>
      <c r="AZ54" s="152"/>
      <c r="BA54" s="152"/>
      <c r="BB54" s="152"/>
      <c r="BC54" s="150">
        <v>61.2</v>
      </c>
      <c r="BD54" s="151">
        <v>999</v>
      </c>
      <c r="BE54" s="151">
        <v>51</v>
      </c>
      <c r="BF54" s="154">
        <v>7100.7712220903895</v>
      </c>
      <c r="BG54" s="146">
        <v>221701</v>
      </c>
      <c r="BH54" s="139">
        <v>115311</v>
      </c>
      <c r="BI54" s="139">
        <v>479241</v>
      </c>
      <c r="BJ54" s="139">
        <v>-363930</v>
      </c>
      <c r="BK54" s="146">
        <v>226216</v>
      </c>
      <c r="BL54" s="146">
        <v>145979</v>
      </c>
      <c r="BM54" s="160"/>
      <c r="BO54" s="138">
        <v>-884</v>
      </c>
      <c r="BP54" s="138">
        <v>2849</v>
      </c>
      <c r="BQ54" s="139">
        <v>10230</v>
      </c>
      <c r="BR54" s="138">
        <v>22676</v>
      </c>
      <c r="BS54" s="139"/>
      <c r="BU54" s="139">
        <v>-12446</v>
      </c>
      <c r="BV54" s="139">
        <v>-1171</v>
      </c>
      <c r="BW54" s="139">
        <v>2887</v>
      </c>
      <c r="BX54" s="139">
        <v>-6</v>
      </c>
      <c r="BY54" s="138">
        <v>-10736</v>
      </c>
      <c r="BZ54" s="139">
        <v>12801</v>
      </c>
      <c r="CA54" s="139">
        <v>-798</v>
      </c>
      <c r="CB54" s="176"/>
      <c r="CC54" s="139">
        <v>528</v>
      </c>
      <c r="CD54" s="151">
        <v>-11398</v>
      </c>
      <c r="CE54" s="151">
        <v>-24004</v>
      </c>
      <c r="CF54" s="138">
        <v>226216</v>
      </c>
      <c r="CG54" s="139">
        <v>195663</v>
      </c>
      <c r="CH54" s="139">
        <v>13502</v>
      </c>
      <c r="CI54" s="139">
        <v>17051</v>
      </c>
      <c r="CJ54" s="114">
        <v>19.5</v>
      </c>
      <c r="CK54" s="152"/>
      <c r="CL54" s="138">
        <v>161</v>
      </c>
      <c r="CM54" s="190">
        <v>74471</v>
      </c>
      <c r="CN54" s="146"/>
      <c r="CO54" s="150">
        <v>1.8071319989865722</v>
      </c>
      <c r="CP54" s="150">
        <v>39.626421589477154</v>
      </c>
      <c r="CQ54" s="151">
        <v>-1396.3690564112205</v>
      </c>
      <c r="CR54" s="152"/>
      <c r="CS54" s="152"/>
      <c r="CT54" s="152"/>
      <c r="CU54" s="150">
        <v>60.14980016529427</v>
      </c>
      <c r="CV54" s="151">
        <v>1005.8814840676235</v>
      </c>
      <c r="CW54" s="151">
        <v>50.495102257910816</v>
      </c>
      <c r="CX54" s="154">
        <v>7270.937680439365</v>
      </c>
      <c r="CY54" s="146">
        <v>207550</v>
      </c>
      <c r="CZ54" s="139">
        <v>145529</v>
      </c>
      <c r="DA54" s="139">
        <v>484087</v>
      </c>
      <c r="DB54" s="139">
        <v>-338558</v>
      </c>
      <c r="DC54" s="146">
        <v>238111</v>
      </c>
      <c r="DD54" s="146">
        <v>123843</v>
      </c>
      <c r="DE54" s="160"/>
      <c r="DG54" s="138">
        <v>-1170</v>
      </c>
      <c r="DH54" s="138">
        <v>4316</v>
      </c>
      <c r="DI54" s="139">
        <v>26542</v>
      </c>
      <c r="DJ54" s="138">
        <v>23172</v>
      </c>
      <c r="DK54" s="139"/>
      <c r="DM54" s="139">
        <v>3370</v>
      </c>
      <c r="DN54" s="139">
        <v>445</v>
      </c>
      <c r="DO54" s="139">
        <v>-703</v>
      </c>
      <c r="DP54" s="139">
        <v>-471</v>
      </c>
      <c r="DQ54" s="138">
        <v>2641</v>
      </c>
      <c r="DR54" s="139">
        <v>15442</v>
      </c>
      <c r="DS54" s="139">
        <v>19447</v>
      </c>
      <c r="DT54" s="176"/>
      <c r="DU54" s="139">
        <v>-746</v>
      </c>
      <c r="DV54" s="151">
        <v>-13799</v>
      </c>
      <c r="DW54" s="138">
        <v>-14372</v>
      </c>
      <c r="DX54" s="138">
        <v>238111</v>
      </c>
      <c r="DY54" s="146">
        <v>205567</v>
      </c>
      <c r="DZ54" s="196">
        <v>14756</v>
      </c>
      <c r="EA54" s="146">
        <v>17788</v>
      </c>
      <c r="EB54" s="114">
        <v>19.5</v>
      </c>
      <c r="EC54" s="152"/>
      <c r="ED54" s="138">
        <v>109</v>
      </c>
      <c r="EE54" s="138">
        <v>164790</v>
      </c>
      <c r="EF54" s="138">
        <v>182301</v>
      </c>
      <c r="EG54" s="138">
        <v>205603</v>
      </c>
      <c r="EH54" s="138"/>
      <c r="EI54" s="138"/>
      <c r="EJ54" s="138"/>
      <c r="EK54" s="3">
        <v>-42567</v>
      </c>
      <c r="EL54" s="138">
        <v>519</v>
      </c>
      <c r="EM54" s="138">
        <v>7539</v>
      </c>
      <c r="EN54" s="3">
        <v>-37392</v>
      </c>
      <c r="EO54" s="138">
        <v>1111</v>
      </c>
      <c r="EP54" s="138">
        <v>13075</v>
      </c>
      <c r="EQ54" s="3">
        <v>-45833</v>
      </c>
      <c r="ER54" s="138">
        <v>2648</v>
      </c>
      <c r="ES54" s="138">
        <v>9366</v>
      </c>
      <c r="ET54" s="163">
        <v>19000</v>
      </c>
      <c r="EU54" s="163">
        <v>-10509</v>
      </c>
      <c r="EV54" s="138">
        <v>26000</v>
      </c>
      <c r="EW54" s="138">
        <v>7339</v>
      </c>
      <c r="EX54" s="138">
        <v>33400</v>
      </c>
      <c r="EY54" s="138">
        <v>-3217</v>
      </c>
      <c r="EZ54" s="138">
        <v>92440</v>
      </c>
      <c r="FA54" s="138">
        <v>71776</v>
      </c>
      <c r="FB54" s="138">
        <v>20664</v>
      </c>
      <c r="FC54" s="138">
        <v>32044</v>
      </c>
      <c r="FD54" s="138">
        <v>114378</v>
      </c>
      <c r="FE54" s="138">
        <v>84219</v>
      </c>
      <c r="FF54" s="138">
        <v>30159</v>
      </c>
      <c r="FG54" s="138">
        <v>32428</v>
      </c>
      <c r="FH54" s="138">
        <v>130763</v>
      </c>
      <c r="FI54" s="138">
        <v>100257</v>
      </c>
      <c r="FJ54" s="138">
        <v>30506</v>
      </c>
      <c r="FK54" s="138">
        <v>30896</v>
      </c>
      <c r="FL54" s="147">
        <v>4061</v>
      </c>
      <c r="FM54" s="147">
        <v>4307.531549994607</v>
      </c>
      <c r="FO54" s="181">
        <f t="shared" si="0"/>
        <v>10541.897435897436</v>
      </c>
      <c r="FP54" s="179">
        <f t="shared" si="1"/>
        <v>141.55708176199374</v>
      </c>
      <c r="FR54" s="184"/>
      <c r="FV54" s="184">
        <v>9446</v>
      </c>
      <c r="FW54" s="2">
        <f t="shared" si="2"/>
        <v>-9446</v>
      </c>
    </row>
    <row r="55" spans="1:179" ht="12.75">
      <c r="A55" s="82">
        <v>169</v>
      </c>
      <c r="B55" s="80" t="s">
        <v>53</v>
      </c>
      <c r="C55" s="191">
        <v>5676</v>
      </c>
      <c r="D55" s="146"/>
      <c r="E55" s="150">
        <v>0.8566206336311941</v>
      </c>
      <c r="F55" s="150">
        <v>41.4</v>
      </c>
      <c r="G55" s="151">
        <v>-1742</v>
      </c>
      <c r="H55" s="152"/>
      <c r="I55" s="152"/>
      <c r="J55" s="152"/>
      <c r="K55" s="150">
        <v>56.2</v>
      </c>
      <c r="L55" s="151">
        <v>56</v>
      </c>
      <c r="M55" s="151">
        <v>3</v>
      </c>
      <c r="N55" s="154">
        <v>5920.190274841438</v>
      </c>
      <c r="O55" s="146">
        <v>13205</v>
      </c>
      <c r="P55" s="139">
        <v>3705</v>
      </c>
      <c r="Q55" s="139">
        <v>28252</v>
      </c>
      <c r="R55" s="139">
        <v>-24547</v>
      </c>
      <c r="S55" s="146">
        <v>17705</v>
      </c>
      <c r="T55" s="139">
        <v>8899</v>
      </c>
      <c r="U55" s="160"/>
      <c r="W55" s="138">
        <v>-213</v>
      </c>
      <c r="X55" s="138">
        <v>27</v>
      </c>
      <c r="Y55" s="139">
        <v>1871</v>
      </c>
      <c r="Z55" s="138">
        <v>781</v>
      </c>
      <c r="AC55" s="139">
        <v>1090</v>
      </c>
      <c r="AG55" s="139">
        <v>1090</v>
      </c>
      <c r="AH55" s="139">
        <v>3465</v>
      </c>
      <c r="AI55" s="139">
        <v>1726</v>
      </c>
      <c r="AJ55" s="176"/>
      <c r="AK55" s="139">
        <v>-77</v>
      </c>
      <c r="AL55" s="151">
        <v>-2224</v>
      </c>
      <c r="AM55" s="151">
        <v>-595</v>
      </c>
      <c r="AN55" s="146">
        <v>17705</v>
      </c>
      <c r="AO55" s="139">
        <v>15909</v>
      </c>
      <c r="AP55" s="139">
        <v>1256</v>
      </c>
      <c r="AQ55" s="139">
        <v>540</v>
      </c>
      <c r="AR55" s="114">
        <v>20.5</v>
      </c>
      <c r="AS55" s="152"/>
      <c r="AT55" s="138">
        <v>110</v>
      </c>
      <c r="AU55" s="191">
        <v>5643</v>
      </c>
      <c r="AV55" s="146"/>
      <c r="AW55" s="150">
        <v>1.0015527950310559</v>
      </c>
      <c r="AX55" s="150">
        <v>48.2</v>
      </c>
      <c r="AY55" s="151">
        <v>-1896</v>
      </c>
      <c r="AZ55" s="152"/>
      <c r="BA55" s="152"/>
      <c r="BB55" s="152"/>
      <c r="BC55" s="150">
        <v>51.6</v>
      </c>
      <c r="BD55" s="151">
        <v>259</v>
      </c>
      <c r="BE55" s="151">
        <v>16</v>
      </c>
      <c r="BF55" s="154">
        <v>5995.746943115364</v>
      </c>
      <c r="BG55" s="146">
        <v>14146</v>
      </c>
      <c r="BH55" s="139">
        <v>4173</v>
      </c>
      <c r="BI55" s="139">
        <v>29871</v>
      </c>
      <c r="BJ55" s="139">
        <v>-25698</v>
      </c>
      <c r="BK55" s="146">
        <v>17834</v>
      </c>
      <c r="BL55" s="146">
        <v>9095</v>
      </c>
      <c r="BM55" s="160"/>
      <c r="BO55" s="138">
        <v>-216</v>
      </c>
      <c r="BP55" s="138">
        <v>39</v>
      </c>
      <c r="BQ55" s="139">
        <v>1054</v>
      </c>
      <c r="BR55" s="138">
        <v>995</v>
      </c>
      <c r="BU55" s="139">
        <v>59</v>
      </c>
      <c r="BY55" s="138">
        <v>59</v>
      </c>
      <c r="BZ55" s="139">
        <v>3524</v>
      </c>
      <c r="CA55" s="139">
        <v>1238</v>
      </c>
      <c r="CB55" s="176"/>
      <c r="CC55" s="139">
        <v>-480</v>
      </c>
      <c r="CD55" s="151">
        <v>-1052</v>
      </c>
      <c r="CE55" s="151">
        <v>-739</v>
      </c>
      <c r="CF55" s="138">
        <v>17834</v>
      </c>
      <c r="CG55" s="139">
        <v>16494</v>
      </c>
      <c r="CH55" s="139">
        <v>793</v>
      </c>
      <c r="CI55" s="139">
        <v>547</v>
      </c>
      <c r="CJ55" s="114">
        <v>20.5</v>
      </c>
      <c r="CK55" s="152"/>
      <c r="CL55" s="138">
        <v>125</v>
      </c>
      <c r="CM55" s="190">
        <v>5595</v>
      </c>
      <c r="CN55" s="146"/>
      <c r="CO55" s="150">
        <v>1.378209576682859</v>
      </c>
      <c r="CP55" s="150">
        <v>47.486876434162134</v>
      </c>
      <c r="CQ55" s="151">
        <v>-2147.63181411975</v>
      </c>
      <c r="CR55" s="152"/>
      <c r="CS55" s="152"/>
      <c r="CT55" s="152"/>
      <c r="CU55" s="150">
        <v>52.46684350132626</v>
      </c>
      <c r="CV55" s="151">
        <v>85.07596067917783</v>
      </c>
      <c r="CW55" s="151">
        <v>4.9473204624409135</v>
      </c>
      <c r="CX55" s="154">
        <v>6276.675603217158</v>
      </c>
      <c r="CY55" s="146">
        <v>13883</v>
      </c>
      <c r="CZ55" s="139">
        <v>4241</v>
      </c>
      <c r="DA55" s="139">
        <v>29872</v>
      </c>
      <c r="DB55" s="139">
        <v>-25631</v>
      </c>
      <c r="DC55" s="146">
        <v>18488</v>
      </c>
      <c r="DD55" s="146">
        <v>9084</v>
      </c>
      <c r="DE55" s="160"/>
      <c r="DG55" s="138">
        <v>-146</v>
      </c>
      <c r="DH55" s="138">
        <v>30</v>
      </c>
      <c r="DI55" s="139">
        <v>1825</v>
      </c>
      <c r="DJ55" s="138">
        <v>1347</v>
      </c>
      <c r="DM55" s="139">
        <v>478</v>
      </c>
      <c r="DQ55" s="138">
        <v>478</v>
      </c>
      <c r="DR55" s="139">
        <v>4003</v>
      </c>
      <c r="DS55" s="139">
        <v>1603</v>
      </c>
      <c r="DT55" s="176"/>
      <c r="DU55" s="139">
        <v>197</v>
      </c>
      <c r="DV55" s="151">
        <v>-1280</v>
      </c>
      <c r="DW55" s="138">
        <v>-1358</v>
      </c>
      <c r="DX55" s="138">
        <v>18488</v>
      </c>
      <c r="DY55" s="146">
        <v>17143</v>
      </c>
      <c r="DZ55" s="196">
        <v>771</v>
      </c>
      <c r="EA55" s="146">
        <v>574</v>
      </c>
      <c r="EB55" s="114">
        <v>20.5</v>
      </c>
      <c r="EC55" s="152"/>
      <c r="ED55" s="138">
        <v>125</v>
      </c>
      <c r="EE55" s="138">
        <v>11843</v>
      </c>
      <c r="EF55" s="138">
        <v>12072</v>
      </c>
      <c r="EG55" s="138">
        <v>12465</v>
      </c>
      <c r="EH55" s="138"/>
      <c r="EI55" s="138"/>
      <c r="EJ55" s="138"/>
      <c r="EK55" s="3">
        <v>-2883</v>
      </c>
      <c r="EL55" s="138">
        <v>390</v>
      </c>
      <c r="EM55" s="138">
        <v>172</v>
      </c>
      <c r="EN55" s="3">
        <v>-2704</v>
      </c>
      <c r="EO55" s="138">
        <v>662</v>
      </c>
      <c r="EP55" s="138">
        <v>65</v>
      </c>
      <c r="EQ55" s="3">
        <v>-3803</v>
      </c>
      <c r="ER55" s="138">
        <v>842</v>
      </c>
      <c r="ET55" s="163">
        <v>1001</v>
      </c>
      <c r="EU55" s="163">
        <v>1860</v>
      </c>
      <c r="EV55" s="138">
        <v>2405</v>
      </c>
      <c r="EW55" s="138">
        <v>110</v>
      </c>
      <c r="EX55" s="138">
        <v>1000</v>
      </c>
      <c r="EY55" s="138">
        <v>240</v>
      </c>
      <c r="EZ55" s="138">
        <v>9953</v>
      </c>
      <c r="FA55" s="138">
        <v>5566</v>
      </c>
      <c r="FB55" s="138">
        <v>4387</v>
      </c>
      <c r="FC55" s="138">
        <v>558</v>
      </c>
      <c r="FD55" s="138">
        <v>11416</v>
      </c>
      <c r="FE55" s="138">
        <v>6715</v>
      </c>
      <c r="FF55" s="138">
        <v>4701</v>
      </c>
      <c r="FG55" s="138">
        <v>558</v>
      </c>
      <c r="FH55" s="138">
        <v>11374</v>
      </c>
      <c r="FI55" s="138">
        <v>6542</v>
      </c>
      <c r="FJ55" s="138">
        <v>4832</v>
      </c>
      <c r="FK55" s="138">
        <v>558</v>
      </c>
      <c r="FL55" s="147">
        <v>2480</v>
      </c>
      <c r="FM55" s="147">
        <v>2757.3985468722312</v>
      </c>
      <c r="FO55" s="181">
        <f t="shared" si="0"/>
        <v>836.2439024390244</v>
      </c>
      <c r="FP55" s="179">
        <f t="shared" si="1"/>
        <v>149.4627171472787</v>
      </c>
      <c r="FR55" s="184"/>
      <c r="FV55" s="184">
        <v>2224</v>
      </c>
      <c r="FW55" s="2">
        <f t="shared" si="2"/>
        <v>-2224</v>
      </c>
    </row>
    <row r="56" spans="1:179" ht="12.75">
      <c r="A56" s="82">
        <v>171</v>
      </c>
      <c r="B56" s="80" t="s">
        <v>54</v>
      </c>
      <c r="C56" s="191">
        <v>5342</v>
      </c>
      <c r="D56" s="146"/>
      <c r="E56" s="150">
        <v>0.2153846153846154</v>
      </c>
      <c r="F56" s="150">
        <v>45.5</v>
      </c>
      <c r="G56" s="151">
        <v>-2963</v>
      </c>
      <c r="H56" s="152"/>
      <c r="I56" s="152"/>
      <c r="J56" s="152"/>
      <c r="K56" s="150">
        <v>47.7</v>
      </c>
      <c r="L56" s="151">
        <v>139</v>
      </c>
      <c r="M56" s="151">
        <v>5</v>
      </c>
      <c r="N56" s="154">
        <v>9229.314863347061</v>
      </c>
      <c r="O56" s="146">
        <v>11983</v>
      </c>
      <c r="P56" s="139">
        <v>18147</v>
      </c>
      <c r="Q56" s="139">
        <v>44011</v>
      </c>
      <c r="R56" s="139">
        <v>-25864</v>
      </c>
      <c r="S56" s="146">
        <v>14925</v>
      </c>
      <c r="T56" s="139">
        <v>11279</v>
      </c>
      <c r="U56" s="160"/>
      <c r="W56" s="138">
        <v>-162</v>
      </c>
      <c r="X56" s="138">
        <v>60</v>
      </c>
      <c r="Y56" s="139">
        <v>238</v>
      </c>
      <c r="Z56" s="138">
        <v>1214</v>
      </c>
      <c r="AA56" s="138">
        <v>284</v>
      </c>
      <c r="AB56" s="139"/>
      <c r="AC56" s="139">
        <v>-692</v>
      </c>
      <c r="AD56" s="139">
        <v>32</v>
      </c>
      <c r="AE56" s="139"/>
      <c r="AG56" s="139">
        <v>-660</v>
      </c>
      <c r="AH56" s="139">
        <v>2195</v>
      </c>
      <c r="AI56" s="139">
        <v>293</v>
      </c>
      <c r="AJ56" s="176"/>
      <c r="AK56" s="138">
        <v>1320</v>
      </c>
      <c r="AL56" s="151">
        <v>-1768</v>
      </c>
      <c r="AM56" s="151">
        <v>-3338</v>
      </c>
      <c r="AN56" s="146">
        <v>14925</v>
      </c>
      <c r="AO56" s="139">
        <v>13087</v>
      </c>
      <c r="AP56" s="139">
        <v>1151</v>
      </c>
      <c r="AQ56" s="139">
        <v>687</v>
      </c>
      <c r="AR56" s="114">
        <v>19.25</v>
      </c>
      <c r="AS56" s="152"/>
      <c r="AT56" s="138">
        <v>266</v>
      </c>
      <c r="AU56" s="191">
        <v>5291</v>
      </c>
      <c r="AV56" s="146"/>
      <c r="AW56" s="150">
        <v>0.41189931350114417</v>
      </c>
      <c r="AX56" s="150">
        <v>49.8</v>
      </c>
      <c r="AY56" s="151">
        <v>-3363</v>
      </c>
      <c r="AZ56" s="152"/>
      <c r="BA56" s="152"/>
      <c r="BB56" s="152"/>
      <c r="BC56" s="150">
        <v>44.3</v>
      </c>
      <c r="BD56" s="151">
        <v>218</v>
      </c>
      <c r="BE56" s="151">
        <v>9</v>
      </c>
      <c r="BF56" s="154">
        <v>9166.509166509168</v>
      </c>
      <c r="BG56" s="146">
        <v>11868</v>
      </c>
      <c r="BH56" s="139">
        <v>18396</v>
      </c>
      <c r="BI56" s="139">
        <v>43870</v>
      </c>
      <c r="BJ56" s="139">
        <v>-25474</v>
      </c>
      <c r="BK56" s="146">
        <v>14630</v>
      </c>
      <c r="BL56" s="146">
        <v>11685</v>
      </c>
      <c r="BM56" s="160"/>
      <c r="BO56" s="138">
        <v>-208</v>
      </c>
      <c r="BP56" s="138">
        <v>41</v>
      </c>
      <c r="BQ56" s="139">
        <v>674</v>
      </c>
      <c r="BR56" s="138">
        <v>1359</v>
      </c>
      <c r="BT56" s="139"/>
      <c r="BU56" s="139">
        <v>-685</v>
      </c>
      <c r="BV56" s="139">
        <v>32</v>
      </c>
      <c r="BW56" s="139"/>
      <c r="BY56" s="138">
        <v>-653</v>
      </c>
      <c r="BZ56" s="139">
        <v>1543</v>
      </c>
      <c r="CA56" s="139">
        <v>634</v>
      </c>
      <c r="CB56" s="176"/>
      <c r="CC56" s="138">
        <v>355</v>
      </c>
      <c r="CD56" s="151">
        <v>-1959</v>
      </c>
      <c r="CE56" s="151">
        <v>-2084</v>
      </c>
      <c r="CF56" s="138">
        <v>14630</v>
      </c>
      <c r="CG56" s="139">
        <v>13111</v>
      </c>
      <c r="CH56" s="139">
        <v>816</v>
      </c>
      <c r="CI56" s="139">
        <v>703</v>
      </c>
      <c r="CJ56" s="114">
        <v>19.5</v>
      </c>
      <c r="CK56" s="152"/>
      <c r="CL56" s="138">
        <v>170</v>
      </c>
      <c r="CM56" s="190">
        <v>5213</v>
      </c>
      <c r="CN56" s="146"/>
      <c r="CO56" s="150">
        <v>0.550293542074364</v>
      </c>
      <c r="CP56" s="150">
        <v>56.49729279466889</v>
      </c>
      <c r="CQ56" s="151">
        <v>-3327.2587761365817</v>
      </c>
      <c r="CR56" s="152"/>
      <c r="CS56" s="152"/>
      <c r="CT56" s="152"/>
      <c r="CU56" s="150">
        <v>44.954197895374364</v>
      </c>
      <c r="CV56" s="151">
        <v>456.9345866103971</v>
      </c>
      <c r="CW56" s="151">
        <v>20.95415983804107</v>
      </c>
      <c r="CX56" s="154">
        <v>7959.3324381354305</v>
      </c>
      <c r="CY56" s="146">
        <v>10423</v>
      </c>
      <c r="CZ56" s="139">
        <v>10697</v>
      </c>
      <c r="DA56" s="139">
        <v>37461</v>
      </c>
      <c r="DB56" s="139">
        <v>-26764</v>
      </c>
      <c r="DC56" s="146">
        <v>15955</v>
      </c>
      <c r="DD56" s="146">
        <v>12163</v>
      </c>
      <c r="DE56" s="160"/>
      <c r="DG56" s="138">
        <v>-196</v>
      </c>
      <c r="DH56" s="138">
        <v>46</v>
      </c>
      <c r="DI56" s="139">
        <v>1204</v>
      </c>
      <c r="DJ56" s="138">
        <v>1421</v>
      </c>
      <c r="DK56" s="138">
        <v>394</v>
      </c>
      <c r="DL56" s="139"/>
      <c r="DM56" s="139">
        <v>177</v>
      </c>
      <c r="DN56" s="139">
        <v>32</v>
      </c>
      <c r="DO56" s="139"/>
      <c r="DQ56" s="138">
        <v>209</v>
      </c>
      <c r="DR56" s="139">
        <v>1752</v>
      </c>
      <c r="DS56" s="139">
        <v>65</v>
      </c>
      <c r="DT56" s="176"/>
      <c r="DU56" s="138">
        <v>1094</v>
      </c>
      <c r="DV56" s="151">
        <v>-2353</v>
      </c>
      <c r="DW56" s="138">
        <v>161</v>
      </c>
      <c r="DX56" s="138">
        <v>15955</v>
      </c>
      <c r="DY56" s="146">
        <v>14205</v>
      </c>
      <c r="DZ56" s="196">
        <v>937</v>
      </c>
      <c r="EA56" s="146">
        <v>813</v>
      </c>
      <c r="EB56" s="114">
        <v>20</v>
      </c>
      <c r="EC56" s="152"/>
      <c r="ED56" s="138">
        <v>180</v>
      </c>
      <c r="EE56" s="138">
        <v>27163</v>
      </c>
      <c r="EF56" s="138">
        <v>26718</v>
      </c>
      <c r="EG56" s="138">
        <v>24511</v>
      </c>
      <c r="EH56" s="138"/>
      <c r="EI56" s="138"/>
      <c r="EJ56" s="138"/>
      <c r="EK56" s="3">
        <v>-3726</v>
      </c>
      <c r="EL56" s="138">
        <v>35</v>
      </c>
      <c r="EM56" s="138">
        <v>60</v>
      </c>
      <c r="EN56" s="3">
        <v>-2921</v>
      </c>
      <c r="EO56" s="138">
        <v>33</v>
      </c>
      <c r="EP56" s="138">
        <v>170</v>
      </c>
      <c r="EQ56" s="3">
        <v>-1868</v>
      </c>
      <c r="ER56" s="138">
        <v>10</v>
      </c>
      <c r="ES56" s="138">
        <v>1954</v>
      </c>
      <c r="ET56" s="163">
        <v>2300</v>
      </c>
      <c r="EU56" s="163">
        <v>2000</v>
      </c>
      <c r="EV56" s="138">
        <v>5320</v>
      </c>
      <c r="EW56" s="138">
        <v>-1500</v>
      </c>
      <c r="EX56" s="138">
        <v>3930</v>
      </c>
      <c r="EY56" s="138">
        <v>-500</v>
      </c>
      <c r="EZ56" s="138">
        <v>10560</v>
      </c>
      <c r="FA56" s="138">
        <v>6601</v>
      </c>
      <c r="FB56" s="138">
        <v>3959</v>
      </c>
      <c r="FC56" s="138">
        <v>415</v>
      </c>
      <c r="FD56" s="138">
        <v>12421</v>
      </c>
      <c r="FE56" s="138">
        <v>9568</v>
      </c>
      <c r="FF56" s="138">
        <v>2853</v>
      </c>
      <c r="FG56" s="138">
        <v>316</v>
      </c>
      <c r="FH56" s="138">
        <v>13498</v>
      </c>
      <c r="FI56" s="138">
        <v>10835</v>
      </c>
      <c r="FJ56" s="138">
        <v>2663</v>
      </c>
      <c r="FK56" s="138">
        <v>310</v>
      </c>
      <c r="FL56" s="147">
        <v>3649</v>
      </c>
      <c r="FM56" s="147">
        <v>4052.9200529200525</v>
      </c>
      <c r="FO56" s="181">
        <f t="shared" si="0"/>
        <v>710.25</v>
      </c>
      <c r="FP56" s="179">
        <f t="shared" si="1"/>
        <v>136.24592365240744</v>
      </c>
      <c r="FR56" s="184"/>
      <c r="FV56" s="184">
        <v>1768</v>
      </c>
      <c r="FW56" s="2">
        <f t="shared" si="2"/>
        <v>-1768</v>
      </c>
    </row>
    <row r="57" spans="1:179" ht="12.75">
      <c r="A57" s="82">
        <v>172</v>
      </c>
      <c r="B57" s="80" t="s">
        <v>55</v>
      </c>
      <c r="C57" s="191">
        <v>4958</v>
      </c>
      <c r="D57" s="146"/>
      <c r="E57" s="150">
        <v>0.6150643451930355</v>
      </c>
      <c r="F57" s="150">
        <v>53.5</v>
      </c>
      <c r="G57" s="151">
        <v>-2978</v>
      </c>
      <c r="H57" s="152"/>
      <c r="I57" s="152"/>
      <c r="J57" s="152"/>
      <c r="K57" s="150">
        <v>28.3</v>
      </c>
      <c r="L57" s="151">
        <v>215</v>
      </c>
      <c r="M57" s="151">
        <v>11</v>
      </c>
      <c r="N57" s="154">
        <v>7306.373537716821</v>
      </c>
      <c r="O57" s="146">
        <v>12864</v>
      </c>
      <c r="P57" s="139">
        <v>6444</v>
      </c>
      <c r="Q57" s="139">
        <v>31786</v>
      </c>
      <c r="R57" s="139">
        <v>-25342</v>
      </c>
      <c r="S57" s="146">
        <v>13360</v>
      </c>
      <c r="T57" s="139">
        <v>13434</v>
      </c>
      <c r="U57" s="160"/>
      <c r="W57" s="138">
        <v>-241</v>
      </c>
      <c r="X57" s="138">
        <v>152</v>
      </c>
      <c r="Y57" s="139">
        <v>1363</v>
      </c>
      <c r="Z57" s="138">
        <v>988</v>
      </c>
      <c r="AA57" s="139"/>
      <c r="AB57" s="139">
        <v>397</v>
      </c>
      <c r="AC57" s="139">
        <v>-22</v>
      </c>
      <c r="AD57" s="139">
        <v>38</v>
      </c>
      <c r="AF57" s="139">
        <v>-6</v>
      </c>
      <c r="AG57" s="139">
        <v>10</v>
      </c>
      <c r="AH57" s="139">
        <v>404</v>
      </c>
      <c r="AI57" s="139">
        <v>861</v>
      </c>
      <c r="AJ57" s="176"/>
      <c r="AK57" s="139">
        <v>439</v>
      </c>
      <c r="AL57" s="151">
        <v>-2380</v>
      </c>
      <c r="AM57" s="151">
        <v>351</v>
      </c>
      <c r="AN57" s="146">
        <v>13360</v>
      </c>
      <c r="AO57" s="139">
        <v>10656</v>
      </c>
      <c r="AP57" s="139">
        <v>1332</v>
      </c>
      <c r="AQ57" s="139">
        <v>1372</v>
      </c>
      <c r="AR57" s="114">
        <v>19.5</v>
      </c>
      <c r="AS57" s="152"/>
      <c r="AT57" s="138">
        <v>147</v>
      </c>
      <c r="AU57" s="191">
        <v>4898</v>
      </c>
      <c r="AV57" s="146"/>
      <c r="AW57" s="150">
        <v>0.2728306176582039</v>
      </c>
      <c r="AX57" s="150">
        <v>59.7</v>
      </c>
      <c r="AY57" s="151">
        <v>-3499</v>
      </c>
      <c r="AZ57" s="152"/>
      <c r="BA57" s="152"/>
      <c r="BB57" s="152"/>
      <c r="BC57" s="150">
        <v>23.5</v>
      </c>
      <c r="BD57" s="151">
        <v>156</v>
      </c>
      <c r="BE57" s="151">
        <v>7</v>
      </c>
      <c r="BF57" s="154">
        <v>8424.050632911392</v>
      </c>
      <c r="BG57" s="146">
        <v>13176</v>
      </c>
      <c r="BH57" s="139">
        <v>6610</v>
      </c>
      <c r="BI57" s="139">
        <v>33291</v>
      </c>
      <c r="BJ57" s="139">
        <v>-26681</v>
      </c>
      <c r="BK57" s="146">
        <v>13117</v>
      </c>
      <c r="BL57" s="146">
        <v>14171</v>
      </c>
      <c r="BM57" s="160"/>
      <c r="BO57" s="138">
        <v>-262</v>
      </c>
      <c r="BP57" s="138">
        <v>98</v>
      </c>
      <c r="BQ57" s="139">
        <v>443</v>
      </c>
      <c r="BR57" s="138">
        <v>1027</v>
      </c>
      <c r="BS57" s="139"/>
      <c r="BT57" s="139"/>
      <c r="BU57" s="139">
        <v>-584</v>
      </c>
      <c r="BV57" s="139">
        <v>30</v>
      </c>
      <c r="BX57" s="139"/>
      <c r="BY57" s="138">
        <v>-554</v>
      </c>
      <c r="BZ57" s="139">
        <v>-150</v>
      </c>
      <c r="CA57" s="139">
        <v>420</v>
      </c>
      <c r="CB57" s="176"/>
      <c r="CC57" s="139">
        <v>-374</v>
      </c>
      <c r="CD57" s="151">
        <v>-2362</v>
      </c>
      <c r="CE57" s="151">
        <v>-3275</v>
      </c>
      <c r="CF57" s="138">
        <v>13117</v>
      </c>
      <c r="CG57" s="139">
        <v>10847</v>
      </c>
      <c r="CH57" s="139">
        <v>858</v>
      </c>
      <c r="CI57" s="139">
        <v>1412</v>
      </c>
      <c r="CJ57" s="114">
        <v>19.5</v>
      </c>
      <c r="CK57" s="152"/>
      <c r="CL57" s="138">
        <v>197</v>
      </c>
      <c r="CM57" s="190">
        <v>4857</v>
      </c>
      <c r="CN57" s="146"/>
      <c r="CO57" s="150">
        <v>0.2616093583835519</v>
      </c>
      <c r="CP57" s="150">
        <v>65.33869083240717</v>
      </c>
      <c r="CQ57" s="151">
        <v>-4262.301832406836</v>
      </c>
      <c r="CR57" s="152"/>
      <c r="CS57" s="152"/>
      <c r="CT57" s="152"/>
      <c r="CU57" s="150">
        <v>19.890088061974442</v>
      </c>
      <c r="CV57" s="151">
        <v>78.03170681490631</v>
      </c>
      <c r="CW57" s="151">
        <v>3.305969792562853</v>
      </c>
      <c r="CX57" s="154">
        <v>8615.194564546016</v>
      </c>
      <c r="CY57" s="146">
        <v>13086</v>
      </c>
      <c r="CZ57" s="139">
        <v>6164</v>
      </c>
      <c r="DA57" s="139">
        <v>34512</v>
      </c>
      <c r="DB57" s="139">
        <v>-28348</v>
      </c>
      <c r="DC57" s="146">
        <v>14445</v>
      </c>
      <c r="DD57" s="146">
        <v>14500</v>
      </c>
      <c r="DE57" s="160"/>
      <c r="DG57" s="138">
        <v>-177</v>
      </c>
      <c r="DH57" s="138">
        <v>129</v>
      </c>
      <c r="DI57" s="139">
        <v>549</v>
      </c>
      <c r="DJ57" s="138">
        <v>1164</v>
      </c>
      <c r="DK57" s="139"/>
      <c r="DL57" s="139"/>
      <c r="DM57" s="139">
        <v>-615</v>
      </c>
      <c r="DN57" s="139">
        <v>23</v>
      </c>
      <c r="DP57" s="139"/>
      <c r="DQ57" s="138">
        <v>-592</v>
      </c>
      <c r="DR57" s="139">
        <v>-742</v>
      </c>
      <c r="DS57" s="139">
        <v>549</v>
      </c>
      <c r="DT57" s="176"/>
      <c r="DU57" s="139">
        <v>470</v>
      </c>
      <c r="DV57" s="151">
        <v>-2632</v>
      </c>
      <c r="DW57" s="138">
        <v>-3540</v>
      </c>
      <c r="DX57" s="138">
        <v>14445</v>
      </c>
      <c r="DY57" s="146">
        <v>11938</v>
      </c>
      <c r="DZ57" s="196">
        <v>1012</v>
      </c>
      <c r="EA57" s="146">
        <v>1495</v>
      </c>
      <c r="EB57" s="114">
        <v>20.5</v>
      </c>
      <c r="EC57" s="152"/>
      <c r="ED57" s="138">
        <v>240</v>
      </c>
      <c r="EE57" s="138">
        <v>14884</v>
      </c>
      <c r="EF57" s="138">
        <v>15878</v>
      </c>
      <c r="EG57" s="138">
        <v>17081</v>
      </c>
      <c r="EH57" s="138"/>
      <c r="EI57" s="138"/>
      <c r="EJ57" s="138"/>
      <c r="EK57" s="3">
        <v>-1729</v>
      </c>
      <c r="EL57" s="138"/>
      <c r="EM57" s="138">
        <v>1219</v>
      </c>
      <c r="EN57" s="3">
        <v>-5290</v>
      </c>
      <c r="EO57" s="138">
        <v>1557</v>
      </c>
      <c r="EP57" s="138">
        <v>38</v>
      </c>
      <c r="EQ57" s="3">
        <v>-4484</v>
      </c>
      <c r="ER57" s="138">
        <v>147</v>
      </c>
      <c r="ES57" s="138">
        <v>248</v>
      </c>
      <c r="ET57" s="163"/>
      <c r="EU57" s="163">
        <v>500</v>
      </c>
      <c r="EV57" s="138">
        <v>3000</v>
      </c>
      <c r="EW57" s="138">
        <v>1927</v>
      </c>
      <c r="EX57" s="138">
        <v>6000</v>
      </c>
      <c r="EY57" s="138">
        <v>-927</v>
      </c>
      <c r="EZ57" s="138">
        <v>12895</v>
      </c>
      <c r="FA57" s="138">
        <v>8683</v>
      </c>
      <c r="FB57" s="138">
        <v>4212</v>
      </c>
      <c r="FC57" s="138">
        <v>923</v>
      </c>
      <c r="FD57" s="138">
        <v>15459</v>
      </c>
      <c r="FE57" s="138">
        <v>9200</v>
      </c>
      <c r="FF57" s="138">
        <v>6259</v>
      </c>
      <c r="FG57" s="138">
        <v>923</v>
      </c>
      <c r="FH57" s="138">
        <v>17900</v>
      </c>
      <c r="FI57" s="138">
        <v>12246</v>
      </c>
      <c r="FJ57" s="138">
        <v>5654</v>
      </c>
      <c r="FK57" s="138">
        <v>923</v>
      </c>
      <c r="FL57" s="147">
        <v>3964</v>
      </c>
      <c r="FM57" s="147">
        <v>4482.441812984892</v>
      </c>
      <c r="FO57" s="181">
        <f t="shared" si="0"/>
        <v>582.3414634146342</v>
      </c>
      <c r="FP57" s="179">
        <f t="shared" si="1"/>
        <v>119.89735709586868</v>
      </c>
      <c r="FR57" s="184"/>
      <c r="FV57" s="184">
        <v>2380</v>
      </c>
      <c r="FW57" s="2">
        <f t="shared" si="2"/>
        <v>-2380</v>
      </c>
    </row>
    <row r="58" spans="1:179" ht="12.75">
      <c r="A58" s="82">
        <v>174</v>
      </c>
      <c r="B58" s="80" t="s">
        <v>56</v>
      </c>
      <c r="C58" s="191">
        <v>5146</v>
      </c>
      <c r="D58" s="146"/>
      <c r="E58" s="150">
        <v>0.5197762684778267</v>
      </c>
      <c r="F58" s="150">
        <v>68</v>
      </c>
      <c r="G58" s="151">
        <v>-4001</v>
      </c>
      <c r="H58" s="152"/>
      <c r="I58" s="152"/>
      <c r="J58" s="152"/>
      <c r="K58" s="150">
        <v>39.4</v>
      </c>
      <c r="L58" s="151">
        <v>263</v>
      </c>
      <c r="M58" s="151">
        <v>12</v>
      </c>
      <c r="N58" s="154">
        <v>8186.941313641663</v>
      </c>
      <c r="O58" s="146">
        <v>12828</v>
      </c>
      <c r="P58" s="139">
        <v>7954</v>
      </c>
      <c r="Q58" s="139">
        <v>35523</v>
      </c>
      <c r="R58" s="139">
        <v>-27569</v>
      </c>
      <c r="S58" s="146">
        <v>14170</v>
      </c>
      <c r="T58" s="139">
        <v>14321</v>
      </c>
      <c r="U58" s="160"/>
      <c r="W58" s="138">
        <v>-541</v>
      </c>
      <c r="X58" s="138">
        <v>365</v>
      </c>
      <c r="Y58" s="139">
        <v>746</v>
      </c>
      <c r="Z58" s="138">
        <v>1546</v>
      </c>
      <c r="AA58" s="139"/>
      <c r="AB58" s="138">
        <v>113</v>
      </c>
      <c r="AC58" s="139">
        <v>-913</v>
      </c>
      <c r="AD58" s="139">
        <v>99</v>
      </c>
      <c r="AG58" s="139">
        <v>-814</v>
      </c>
      <c r="AH58" s="139">
        <v>-2490</v>
      </c>
      <c r="AI58" s="139">
        <v>485</v>
      </c>
      <c r="AJ58" s="176"/>
      <c r="AK58" s="139">
        <v>2435</v>
      </c>
      <c r="AL58" s="151">
        <v>-1948</v>
      </c>
      <c r="AM58" s="151">
        <v>-1697</v>
      </c>
      <c r="AN58" s="146">
        <v>14170</v>
      </c>
      <c r="AO58" s="139">
        <v>12367</v>
      </c>
      <c r="AP58" s="139">
        <v>800</v>
      </c>
      <c r="AQ58" s="139">
        <v>1003</v>
      </c>
      <c r="AR58" s="114">
        <v>21</v>
      </c>
      <c r="AS58" s="152"/>
      <c r="AT58" s="138">
        <v>236</v>
      </c>
      <c r="AU58" s="191">
        <v>5093</v>
      </c>
      <c r="AV58" s="146"/>
      <c r="AW58" s="150">
        <v>0.6194782608695653</v>
      </c>
      <c r="AX58" s="150">
        <v>57.8</v>
      </c>
      <c r="AY58" s="151">
        <v>-3287</v>
      </c>
      <c r="AZ58" s="152"/>
      <c r="BA58" s="152"/>
      <c r="BB58" s="152"/>
      <c r="BC58" s="150">
        <v>43</v>
      </c>
      <c r="BD58" s="151">
        <v>314</v>
      </c>
      <c r="BE58" s="151">
        <v>15</v>
      </c>
      <c r="BF58" s="154">
        <v>7705.674455134498</v>
      </c>
      <c r="BG58" s="146">
        <v>13532</v>
      </c>
      <c r="BH58" s="139">
        <v>7639</v>
      </c>
      <c r="BI58" s="139">
        <v>35503</v>
      </c>
      <c r="BJ58" s="139">
        <v>-27864</v>
      </c>
      <c r="BK58" s="146">
        <v>14642</v>
      </c>
      <c r="BL58" s="146">
        <v>14303</v>
      </c>
      <c r="BM58" s="160"/>
      <c r="BO58" s="138">
        <v>-370</v>
      </c>
      <c r="BP58" s="138">
        <v>676</v>
      </c>
      <c r="BQ58" s="139">
        <v>1387</v>
      </c>
      <c r="BR58" s="138">
        <v>1522</v>
      </c>
      <c r="BS58" s="139"/>
      <c r="BU58" s="139">
        <v>-135</v>
      </c>
      <c r="BV58" s="139">
        <v>97</v>
      </c>
      <c r="BY58" s="138">
        <v>-38</v>
      </c>
      <c r="BZ58" s="139">
        <v>-2528</v>
      </c>
      <c r="CA58" s="139">
        <v>1174</v>
      </c>
      <c r="CB58" s="176"/>
      <c r="CC58" s="139">
        <v>1472</v>
      </c>
      <c r="CD58" s="151">
        <v>-2481</v>
      </c>
      <c r="CE58" s="151">
        <v>3651</v>
      </c>
      <c r="CF58" s="138">
        <v>14642</v>
      </c>
      <c r="CG58" s="139">
        <v>13159</v>
      </c>
      <c r="CH58" s="139">
        <v>381</v>
      </c>
      <c r="CI58" s="139">
        <v>1102</v>
      </c>
      <c r="CJ58" s="114">
        <v>21.5</v>
      </c>
      <c r="CK58" s="152"/>
      <c r="CL58" s="138">
        <v>72</v>
      </c>
      <c r="CM58" s="190">
        <v>4995</v>
      </c>
      <c r="CN58" s="146"/>
      <c r="CO58" s="150">
        <v>0.24517304189435338</v>
      </c>
      <c r="CP58" s="150">
        <v>68.16450470127587</v>
      </c>
      <c r="CQ58" s="151">
        <v>-4285.485485485485</v>
      </c>
      <c r="CR58" s="152"/>
      <c r="CS58" s="152"/>
      <c r="CT58" s="152"/>
      <c r="CU58" s="150">
        <v>29.975747776879548</v>
      </c>
      <c r="CV58" s="151">
        <v>284.0840840840841</v>
      </c>
      <c r="CW58" s="151">
        <v>12.627940997196147</v>
      </c>
      <c r="CX58" s="154">
        <v>8211.21121121121</v>
      </c>
      <c r="CY58" s="146">
        <v>13738</v>
      </c>
      <c r="CZ58" s="139">
        <v>7209</v>
      </c>
      <c r="DA58" s="139">
        <v>37380</v>
      </c>
      <c r="DB58" s="139">
        <v>-30171</v>
      </c>
      <c r="DC58" s="146">
        <v>16416</v>
      </c>
      <c r="DD58" s="146">
        <v>13918</v>
      </c>
      <c r="DE58" s="160"/>
      <c r="DG58" s="138">
        <v>-241</v>
      </c>
      <c r="DH58" s="138">
        <v>502</v>
      </c>
      <c r="DI58" s="139">
        <v>424</v>
      </c>
      <c r="DJ58" s="138">
        <v>1482</v>
      </c>
      <c r="DK58" s="139"/>
      <c r="DL58" s="138">
        <v>4077</v>
      </c>
      <c r="DM58" s="139">
        <v>-5135</v>
      </c>
      <c r="DN58" s="139">
        <v>93</v>
      </c>
      <c r="DQ58" s="138">
        <v>-5042</v>
      </c>
      <c r="DR58" s="139">
        <v>-7570</v>
      </c>
      <c r="DS58" s="139">
        <v>-3743</v>
      </c>
      <c r="DT58" s="176"/>
      <c r="DU58" s="139">
        <v>50</v>
      </c>
      <c r="DV58" s="151">
        <v>-2496</v>
      </c>
      <c r="DW58" s="138">
        <v>-4488</v>
      </c>
      <c r="DX58" s="138">
        <v>16416</v>
      </c>
      <c r="DY58" s="146">
        <v>14823</v>
      </c>
      <c r="DZ58" s="196">
        <v>468</v>
      </c>
      <c r="EA58" s="146">
        <v>1125</v>
      </c>
      <c r="EB58" s="114">
        <v>21.5</v>
      </c>
      <c r="EC58" s="152"/>
      <c r="ED58" s="138">
        <v>249</v>
      </c>
      <c r="EE58" s="138">
        <v>19176</v>
      </c>
      <c r="EF58" s="138">
        <v>18231</v>
      </c>
      <c r="EG58" s="138">
        <v>19865</v>
      </c>
      <c r="EH58" s="138">
        <v>850</v>
      </c>
      <c r="EI58" s="138">
        <v>700</v>
      </c>
      <c r="EJ58" s="138"/>
      <c r="EK58" s="3">
        <v>-3448</v>
      </c>
      <c r="EL58" s="138">
        <v>1082</v>
      </c>
      <c r="EM58" s="138">
        <v>185</v>
      </c>
      <c r="EN58" s="3">
        <v>-751</v>
      </c>
      <c r="EO58" s="138">
        <v>349</v>
      </c>
      <c r="EP58" s="138">
        <v>2879</v>
      </c>
      <c r="EQ58" s="3">
        <v>-848</v>
      </c>
      <c r="ES58" s="138">
        <v>104</v>
      </c>
      <c r="ET58" s="163"/>
      <c r="EU58" s="163"/>
      <c r="EV58" s="138"/>
      <c r="EW58" s="138">
        <v>500</v>
      </c>
      <c r="EX58" s="138"/>
      <c r="EY58" s="138">
        <v>6600</v>
      </c>
      <c r="EZ58" s="138">
        <v>19855</v>
      </c>
      <c r="FA58" s="138">
        <v>17374</v>
      </c>
      <c r="FB58" s="138">
        <v>2481</v>
      </c>
      <c r="FC58" s="138">
        <v>1168</v>
      </c>
      <c r="FD58" s="138">
        <v>17873</v>
      </c>
      <c r="FE58" s="138">
        <v>14877</v>
      </c>
      <c r="FF58" s="138">
        <v>2996</v>
      </c>
      <c r="FG58" s="138">
        <v>1160</v>
      </c>
      <c r="FH58" s="138">
        <v>21978</v>
      </c>
      <c r="FI58" s="138">
        <v>12382</v>
      </c>
      <c r="FJ58" s="138">
        <v>9596</v>
      </c>
      <c r="FK58" s="138">
        <v>1152</v>
      </c>
      <c r="FL58" s="147">
        <v>5207</v>
      </c>
      <c r="FM58" s="147">
        <v>4956.410759866483</v>
      </c>
      <c r="FO58" s="181">
        <f t="shared" si="0"/>
        <v>689.4418604651163</v>
      </c>
      <c r="FP58" s="179">
        <f t="shared" si="1"/>
        <v>138.02639849151475</v>
      </c>
      <c r="FR58" s="184"/>
      <c r="FV58" s="184">
        <v>1948</v>
      </c>
      <c r="FW58" s="2">
        <f t="shared" si="2"/>
        <v>-1948</v>
      </c>
    </row>
    <row r="59" spans="1:179" ht="12.75">
      <c r="A59" s="82">
        <v>176</v>
      </c>
      <c r="B59" s="80" t="s">
        <v>57</v>
      </c>
      <c r="C59" s="191">
        <v>5453</v>
      </c>
      <c r="D59" s="146"/>
      <c r="F59" s="150">
        <v>12.7</v>
      </c>
      <c r="G59" s="151">
        <v>1426</v>
      </c>
      <c r="H59" s="152"/>
      <c r="I59" s="152"/>
      <c r="J59" s="152"/>
      <c r="K59" s="150">
        <v>84.4</v>
      </c>
      <c r="L59" s="151">
        <v>1930</v>
      </c>
      <c r="M59" s="151">
        <v>95</v>
      </c>
      <c r="N59" s="154">
        <v>7395.92884650651</v>
      </c>
      <c r="O59" s="146">
        <v>16717</v>
      </c>
      <c r="P59" s="139">
        <v>6715</v>
      </c>
      <c r="Q59" s="139">
        <v>38819</v>
      </c>
      <c r="R59" s="139">
        <v>-32104</v>
      </c>
      <c r="S59" s="146">
        <v>13401</v>
      </c>
      <c r="T59" s="139">
        <v>18499</v>
      </c>
      <c r="U59" s="160"/>
      <c r="W59" s="138">
        <v>133</v>
      </c>
      <c r="X59" s="138">
        <v>342</v>
      </c>
      <c r="Y59" s="139">
        <v>271</v>
      </c>
      <c r="Z59" s="138">
        <v>1409</v>
      </c>
      <c r="AB59" s="139"/>
      <c r="AC59" s="139">
        <v>-1138</v>
      </c>
      <c r="AD59" s="139">
        <v>-404</v>
      </c>
      <c r="AE59" s="139">
        <v>767</v>
      </c>
      <c r="AG59" s="139">
        <v>-775</v>
      </c>
      <c r="AH59" s="139">
        <v>6497</v>
      </c>
      <c r="AI59" s="139">
        <v>156</v>
      </c>
      <c r="AJ59" s="176"/>
      <c r="AK59" s="139">
        <v>-15</v>
      </c>
      <c r="AL59" s="151">
        <v>0</v>
      </c>
      <c r="AM59" s="151">
        <v>-1230</v>
      </c>
      <c r="AN59" s="146">
        <v>13401</v>
      </c>
      <c r="AO59" s="139">
        <v>10935</v>
      </c>
      <c r="AP59" s="139">
        <v>1824</v>
      </c>
      <c r="AQ59" s="139">
        <v>642</v>
      </c>
      <c r="AR59" s="114">
        <v>19.75</v>
      </c>
      <c r="AS59" s="152"/>
      <c r="AT59" s="138">
        <v>262</v>
      </c>
      <c r="AU59" s="191">
        <v>5324</v>
      </c>
      <c r="AV59" s="146"/>
      <c r="AX59" s="150">
        <v>15.5</v>
      </c>
      <c r="AY59" s="151">
        <v>938</v>
      </c>
      <c r="AZ59" s="152"/>
      <c r="BA59" s="152"/>
      <c r="BB59" s="152"/>
      <c r="BC59" s="150">
        <v>80.2</v>
      </c>
      <c r="BD59" s="151">
        <v>1561</v>
      </c>
      <c r="BE59" s="151">
        <v>69</v>
      </c>
      <c r="BF59" s="154">
        <v>8262.772351615327</v>
      </c>
      <c r="BG59" s="146">
        <v>17885</v>
      </c>
      <c r="BH59" s="139">
        <v>7355</v>
      </c>
      <c r="BI59" s="139">
        <v>40826</v>
      </c>
      <c r="BJ59" s="139">
        <v>-33471</v>
      </c>
      <c r="BK59" s="146">
        <v>13053</v>
      </c>
      <c r="BL59" s="146">
        <v>19619</v>
      </c>
      <c r="BM59" s="160"/>
      <c r="BO59" s="138">
        <v>81</v>
      </c>
      <c r="BP59" s="138">
        <v>365</v>
      </c>
      <c r="BQ59" s="139">
        <v>-353</v>
      </c>
      <c r="BR59" s="138">
        <v>1470</v>
      </c>
      <c r="BT59" s="139"/>
      <c r="BU59" s="139">
        <v>-1823</v>
      </c>
      <c r="BV59" s="139">
        <v>366</v>
      </c>
      <c r="BW59" s="139">
        <v>45</v>
      </c>
      <c r="BY59" s="138">
        <v>-1412</v>
      </c>
      <c r="BZ59" s="139">
        <v>5085</v>
      </c>
      <c r="CA59" s="139">
        <v>-494</v>
      </c>
      <c r="CB59" s="176"/>
      <c r="CC59" s="139">
        <v>-729</v>
      </c>
      <c r="CD59" s="151">
        <v>0</v>
      </c>
      <c r="CE59" s="151">
        <v>-2783</v>
      </c>
      <c r="CF59" s="138">
        <v>13053</v>
      </c>
      <c r="CG59" s="139">
        <v>11259</v>
      </c>
      <c r="CH59" s="139">
        <v>1001</v>
      </c>
      <c r="CI59" s="139">
        <v>793</v>
      </c>
      <c r="CJ59" s="114">
        <v>20.25</v>
      </c>
      <c r="CK59" s="152"/>
      <c r="CL59" s="138">
        <v>275</v>
      </c>
      <c r="CM59" s="190">
        <v>5203</v>
      </c>
      <c r="CN59" s="146"/>
      <c r="CP59" s="150">
        <v>15.349887133182845</v>
      </c>
      <c r="CQ59" s="151">
        <v>718.816067653277</v>
      </c>
      <c r="CR59" s="152"/>
      <c r="CS59" s="152"/>
      <c r="CT59" s="152"/>
      <c r="CU59" s="150">
        <v>79.80955354355292</v>
      </c>
      <c r="CV59" s="151">
        <v>1466.0772631174323</v>
      </c>
      <c r="CW59" s="151">
        <v>65.50951742311946</v>
      </c>
      <c r="CX59" s="154">
        <v>8168.5566019604075</v>
      </c>
      <c r="CY59" s="146">
        <v>17134</v>
      </c>
      <c r="CZ59" s="139">
        <v>6919</v>
      </c>
      <c r="DA59" s="139">
        <v>40141</v>
      </c>
      <c r="DB59" s="139">
        <v>-33222</v>
      </c>
      <c r="DC59" s="146">
        <v>13430</v>
      </c>
      <c r="DD59" s="146">
        <v>20407</v>
      </c>
      <c r="DE59" s="160"/>
      <c r="DG59" s="138">
        <v>30</v>
      </c>
      <c r="DH59" s="138">
        <v>353</v>
      </c>
      <c r="DI59" s="139">
        <v>998</v>
      </c>
      <c r="DJ59" s="138">
        <v>1528</v>
      </c>
      <c r="DL59" s="139"/>
      <c r="DM59" s="139">
        <v>-530</v>
      </c>
      <c r="DN59" s="139">
        <v>-34</v>
      </c>
      <c r="DO59" s="139">
        <v>411</v>
      </c>
      <c r="DQ59" s="138">
        <v>-153</v>
      </c>
      <c r="DR59" s="139">
        <v>4932</v>
      </c>
      <c r="DS59" s="139">
        <v>938</v>
      </c>
      <c r="DT59" s="176"/>
      <c r="DU59" s="139">
        <v>523</v>
      </c>
      <c r="DV59" s="151">
        <v>0</v>
      </c>
      <c r="DW59" s="138">
        <v>-1238</v>
      </c>
      <c r="DX59" s="138">
        <v>13430</v>
      </c>
      <c r="DY59" s="146">
        <v>11413</v>
      </c>
      <c r="DZ59" s="196">
        <v>1198</v>
      </c>
      <c r="EA59" s="146">
        <v>819</v>
      </c>
      <c r="EB59" s="114">
        <v>20.25</v>
      </c>
      <c r="EC59" s="152"/>
      <c r="ED59" s="138">
        <v>206</v>
      </c>
      <c r="EE59" s="138">
        <v>17797</v>
      </c>
      <c r="EF59" s="138">
        <v>18181</v>
      </c>
      <c r="EG59" s="138">
        <v>18423</v>
      </c>
      <c r="EH59" s="138"/>
      <c r="EI59" s="138"/>
      <c r="EJ59" s="138"/>
      <c r="EK59" s="3">
        <v>-1511</v>
      </c>
      <c r="EL59" s="138"/>
      <c r="EM59" s="138">
        <v>125</v>
      </c>
      <c r="EN59" s="3">
        <v>-3150</v>
      </c>
      <c r="EO59" s="138">
        <v>645</v>
      </c>
      <c r="EP59" s="138">
        <v>216</v>
      </c>
      <c r="EQ59" s="3">
        <v>-2358</v>
      </c>
      <c r="ER59" s="138">
        <v>39</v>
      </c>
      <c r="ES59" s="138">
        <v>143</v>
      </c>
      <c r="ET59" s="163"/>
      <c r="EU59" s="163"/>
      <c r="EV59" s="138"/>
      <c r="EW59" s="138"/>
      <c r="EX59" s="138"/>
      <c r="EY59" s="138"/>
      <c r="EZ59" s="138">
        <v>0</v>
      </c>
      <c r="FA59" s="138">
        <v>0</v>
      </c>
      <c r="FB59" s="138">
        <v>0</v>
      </c>
      <c r="FC59" s="138">
        <v>130</v>
      </c>
      <c r="FD59" s="138">
        <v>0</v>
      </c>
      <c r="FE59" s="138">
        <v>0</v>
      </c>
      <c r="FF59" s="138">
        <v>0</v>
      </c>
      <c r="FG59" s="138">
        <v>130</v>
      </c>
      <c r="FH59" s="138">
        <v>0</v>
      </c>
      <c r="FI59" s="138">
        <v>0</v>
      </c>
      <c r="FJ59" s="138">
        <v>0</v>
      </c>
      <c r="FK59" s="138">
        <v>130</v>
      </c>
      <c r="FL59" s="147">
        <v>1243</v>
      </c>
      <c r="FM59" s="147">
        <v>1256.198347107438</v>
      </c>
      <c r="FO59" s="181">
        <f t="shared" si="0"/>
        <v>563.604938271605</v>
      </c>
      <c r="FP59" s="179">
        <f t="shared" si="1"/>
        <v>108.32307097282433</v>
      </c>
      <c r="FR59" s="184"/>
      <c r="FV59" s="184">
        <v>0</v>
      </c>
      <c r="FW59" s="2">
        <f t="shared" si="2"/>
        <v>0</v>
      </c>
    </row>
    <row r="60" spans="1:179" ht="12.75">
      <c r="A60" s="82">
        <v>177</v>
      </c>
      <c r="B60" s="80" t="s">
        <v>58</v>
      </c>
      <c r="C60" s="191">
        <v>2046</v>
      </c>
      <c r="D60" s="146"/>
      <c r="E60" s="150">
        <v>1.2587064676616915</v>
      </c>
      <c r="F60" s="150">
        <v>34.8</v>
      </c>
      <c r="G60" s="151">
        <v>-1640</v>
      </c>
      <c r="H60" s="152"/>
      <c r="I60" s="152"/>
      <c r="J60" s="152"/>
      <c r="K60" s="150">
        <v>65.3</v>
      </c>
      <c r="L60" s="151">
        <v>172</v>
      </c>
      <c r="M60" s="151">
        <v>10</v>
      </c>
      <c r="N60" s="154">
        <v>6394.428152492669</v>
      </c>
      <c r="O60" s="146">
        <v>4500</v>
      </c>
      <c r="P60" s="139">
        <v>1742</v>
      </c>
      <c r="Q60" s="139">
        <v>11443</v>
      </c>
      <c r="R60" s="139">
        <v>-9701</v>
      </c>
      <c r="S60" s="146">
        <v>5854</v>
      </c>
      <c r="T60" s="139">
        <v>4606</v>
      </c>
      <c r="U60" s="160"/>
      <c r="W60" s="138">
        <v>-44</v>
      </c>
      <c r="X60" s="138">
        <v>-27</v>
      </c>
      <c r="Y60" s="139">
        <v>688</v>
      </c>
      <c r="Z60" s="138">
        <v>307</v>
      </c>
      <c r="AA60" s="139"/>
      <c r="AC60" s="139">
        <v>381</v>
      </c>
      <c r="AD60" s="139">
        <v>17</v>
      </c>
      <c r="AG60" s="139">
        <v>398</v>
      </c>
      <c r="AH60" s="139">
        <v>1049</v>
      </c>
      <c r="AI60" s="139">
        <v>613</v>
      </c>
      <c r="AJ60" s="176"/>
      <c r="AK60" s="138">
        <v>-149</v>
      </c>
      <c r="AL60" s="151">
        <v>-532</v>
      </c>
      <c r="AM60" s="151">
        <v>-70</v>
      </c>
      <c r="AN60" s="146">
        <v>5854</v>
      </c>
      <c r="AO60" s="139">
        <v>4907</v>
      </c>
      <c r="AP60" s="139">
        <v>487</v>
      </c>
      <c r="AQ60" s="139">
        <v>460</v>
      </c>
      <c r="AR60" s="114">
        <v>19</v>
      </c>
      <c r="AS60" s="152"/>
      <c r="AT60" s="138">
        <v>107</v>
      </c>
      <c r="AU60" s="191">
        <v>2023</v>
      </c>
      <c r="AV60" s="146"/>
      <c r="AW60" s="150">
        <v>-1.9135802469135803</v>
      </c>
      <c r="AX60" s="150">
        <v>49.8</v>
      </c>
      <c r="AY60" s="151">
        <v>-2501</v>
      </c>
      <c r="AZ60" s="152"/>
      <c r="BA60" s="152"/>
      <c r="BB60" s="152"/>
      <c r="BC60" s="150">
        <v>55</v>
      </c>
      <c r="BD60" s="151">
        <v>80</v>
      </c>
      <c r="BE60" s="151">
        <v>4</v>
      </c>
      <c r="BF60" s="154">
        <v>6953.04003954523</v>
      </c>
      <c r="BG60" s="146">
        <v>4793</v>
      </c>
      <c r="BH60" s="139">
        <v>1835</v>
      </c>
      <c r="BI60" s="139">
        <v>12359</v>
      </c>
      <c r="BJ60" s="139">
        <v>-10524</v>
      </c>
      <c r="BK60" s="146">
        <v>5502</v>
      </c>
      <c r="BL60" s="146">
        <v>4688</v>
      </c>
      <c r="BM60" s="160"/>
      <c r="BO60" s="138">
        <v>-33</v>
      </c>
      <c r="BP60" s="138">
        <v>-2</v>
      </c>
      <c r="BQ60" s="139">
        <v>-369</v>
      </c>
      <c r="BR60" s="138">
        <v>315</v>
      </c>
      <c r="BS60" s="139"/>
      <c r="BU60" s="139">
        <v>-684</v>
      </c>
      <c r="BV60" s="139">
        <v>27</v>
      </c>
      <c r="BY60" s="138">
        <v>-657</v>
      </c>
      <c r="BZ60" s="139">
        <v>392</v>
      </c>
      <c r="CA60" s="139">
        <v>-369</v>
      </c>
      <c r="CB60" s="176"/>
      <c r="CC60" s="138">
        <v>-227</v>
      </c>
      <c r="CD60" s="151">
        <v>-103</v>
      </c>
      <c r="CE60" s="151">
        <v>-1709</v>
      </c>
      <c r="CF60" s="138">
        <v>5502</v>
      </c>
      <c r="CG60" s="139">
        <v>4749</v>
      </c>
      <c r="CH60" s="139">
        <v>280</v>
      </c>
      <c r="CI60" s="139">
        <v>473</v>
      </c>
      <c r="CJ60" s="114">
        <v>19</v>
      </c>
      <c r="CK60" s="152"/>
      <c r="CL60" s="138">
        <v>302</v>
      </c>
      <c r="CM60" s="190">
        <v>2039</v>
      </c>
      <c r="CN60" s="146"/>
      <c r="CO60" s="150">
        <v>0.38817005545286504</v>
      </c>
      <c r="CP60" s="150">
        <v>47.36140922211531</v>
      </c>
      <c r="CQ60" s="151">
        <v>-2897.008337420304</v>
      </c>
      <c r="CR60" s="152"/>
      <c r="CS60" s="152"/>
      <c r="CT60" s="152"/>
      <c r="CU60" s="150">
        <v>52.83338239623197</v>
      </c>
      <c r="CV60" s="151">
        <v>4.4139283962726825</v>
      </c>
      <c r="CW60" s="151">
        <v>0.21050945209868632</v>
      </c>
      <c r="CX60" s="154">
        <v>7653.261402648357</v>
      </c>
      <c r="CY60" s="146">
        <v>5074</v>
      </c>
      <c r="CZ60" s="139">
        <v>2144</v>
      </c>
      <c r="DA60" s="139">
        <v>13074</v>
      </c>
      <c r="DB60" s="139">
        <v>-10930</v>
      </c>
      <c r="DC60" s="146">
        <v>6347</v>
      </c>
      <c r="DD60" s="146">
        <v>5020</v>
      </c>
      <c r="DE60" s="160"/>
      <c r="DG60" s="138">
        <v>-34</v>
      </c>
      <c r="DH60" s="138">
        <v>-40</v>
      </c>
      <c r="DI60" s="139">
        <v>363</v>
      </c>
      <c r="DJ60" s="138">
        <v>439</v>
      </c>
      <c r="DK60" s="139"/>
      <c r="DM60" s="139">
        <v>-76</v>
      </c>
      <c r="DN60" s="139">
        <v>10</v>
      </c>
      <c r="DQ60" s="138">
        <v>-66</v>
      </c>
      <c r="DR60" s="139">
        <v>326</v>
      </c>
      <c r="DS60" s="139">
        <v>194</v>
      </c>
      <c r="DT60" s="176"/>
      <c r="DU60" s="138">
        <v>285</v>
      </c>
      <c r="DV60" s="151">
        <v>-1025</v>
      </c>
      <c r="DW60" s="138">
        <v>-842</v>
      </c>
      <c r="DX60" s="138">
        <v>6347</v>
      </c>
      <c r="DY60" s="146">
        <v>5477</v>
      </c>
      <c r="DZ60" s="196">
        <v>404</v>
      </c>
      <c r="EA60" s="146">
        <v>466</v>
      </c>
      <c r="EB60" s="114">
        <v>20</v>
      </c>
      <c r="EC60" s="152"/>
      <c r="ED60" s="138">
        <v>216</v>
      </c>
      <c r="EE60" s="138">
        <v>5520</v>
      </c>
      <c r="EF60" s="138">
        <v>6043</v>
      </c>
      <c r="EG60" s="138">
        <v>6482</v>
      </c>
      <c r="EH60" s="138"/>
      <c r="EI60" s="138"/>
      <c r="EJ60" s="138"/>
      <c r="EK60" s="3">
        <v>-807</v>
      </c>
      <c r="EL60" s="138"/>
      <c r="EM60" s="138">
        <v>124</v>
      </c>
      <c r="EN60" s="3">
        <v>-1537</v>
      </c>
      <c r="EO60" s="138">
        <v>186</v>
      </c>
      <c r="EP60" s="138">
        <v>11</v>
      </c>
      <c r="EQ60" s="3">
        <v>-1352</v>
      </c>
      <c r="ER60" s="138">
        <v>124</v>
      </c>
      <c r="ES60" s="138">
        <v>192</v>
      </c>
      <c r="ET60" s="163">
        <v>700</v>
      </c>
      <c r="EU60" s="163">
        <v>200</v>
      </c>
      <c r="EV60" s="138">
        <v>700</v>
      </c>
      <c r="EW60" s="138">
        <v>261</v>
      </c>
      <c r="EX60" s="138">
        <v>778</v>
      </c>
      <c r="EY60" s="138">
        <v>1067</v>
      </c>
      <c r="EZ60" s="138">
        <v>2821</v>
      </c>
      <c r="FA60" s="138">
        <v>1979</v>
      </c>
      <c r="FB60" s="138">
        <v>842</v>
      </c>
      <c r="FC60" s="138">
        <v>157</v>
      </c>
      <c r="FD60" s="138">
        <v>3679</v>
      </c>
      <c r="FE60" s="138">
        <v>2576</v>
      </c>
      <c r="FF60" s="138">
        <v>1103</v>
      </c>
      <c r="FG60" s="138">
        <v>151</v>
      </c>
      <c r="FH60" s="138">
        <v>4499</v>
      </c>
      <c r="FI60" s="138">
        <v>2329</v>
      </c>
      <c r="FJ60" s="138">
        <v>2170</v>
      </c>
      <c r="FK60" s="138">
        <v>157</v>
      </c>
      <c r="FL60" s="147">
        <v>2866</v>
      </c>
      <c r="FM60" s="147">
        <v>3237.7656945130993</v>
      </c>
      <c r="FO60" s="181">
        <f t="shared" si="0"/>
        <v>273.85</v>
      </c>
      <c r="FP60" s="179">
        <f t="shared" si="1"/>
        <v>134.30603236880825</v>
      </c>
      <c r="FR60" s="184"/>
      <c r="FV60" s="184">
        <v>532</v>
      </c>
      <c r="FW60" s="2">
        <f t="shared" si="2"/>
        <v>-532</v>
      </c>
    </row>
    <row r="61" spans="1:179" ht="12.75">
      <c r="A61" s="82">
        <v>178</v>
      </c>
      <c r="B61" s="80" t="s">
        <v>59</v>
      </c>
      <c r="C61" s="191">
        <v>6902</v>
      </c>
      <c r="D61" s="146"/>
      <c r="E61" s="150">
        <v>0.351575456053068</v>
      </c>
      <c r="F61" s="150">
        <v>37.7</v>
      </c>
      <c r="G61" s="151">
        <v>-2249</v>
      </c>
      <c r="H61" s="152"/>
      <c r="I61" s="152"/>
      <c r="J61" s="152"/>
      <c r="K61" s="150">
        <v>53.8</v>
      </c>
      <c r="L61" s="151">
        <v>217</v>
      </c>
      <c r="M61" s="151">
        <v>9</v>
      </c>
      <c r="N61" s="154">
        <v>8901.76760359316</v>
      </c>
      <c r="O61" s="146">
        <v>22475</v>
      </c>
      <c r="P61" s="139">
        <v>20165</v>
      </c>
      <c r="Q61" s="139">
        <v>55523</v>
      </c>
      <c r="R61" s="139">
        <v>-35358</v>
      </c>
      <c r="S61" s="146">
        <v>18029</v>
      </c>
      <c r="T61" s="139">
        <v>17150</v>
      </c>
      <c r="U61" s="160"/>
      <c r="W61" s="138">
        <v>-237</v>
      </c>
      <c r="X61" s="138">
        <v>575</v>
      </c>
      <c r="Y61" s="139">
        <v>159</v>
      </c>
      <c r="Z61" s="138">
        <v>1253</v>
      </c>
      <c r="AA61" s="139">
        <v>210</v>
      </c>
      <c r="AB61" s="139">
        <v>26</v>
      </c>
      <c r="AC61" s="139">
        <v>-910</v>
      </c>
      <c r="AD61" s="139">
        <v>30</v>
      </c>
      <c r="AG61" s="139">
        <v>-880</v>
      </c>
      <c r="AH61" s="139">
        <v>-253</v>
      </c>
      <c r="AI61" s="139">
        <v>-27</v>
      </c>
      <c r="AJ61" s="176"/>
      <c r="AK61" s="138">
        <v>1525</v>
      </c>
      <c r="AL61" s="151">
        <v>-941</v>
      </c>
      <c r="AM61" s="151">
        <v>-4415</v>
      </c>
      <c r="AN61" s="146">
        <v>18029</v>
      </c>
      <c r="AO61" s="139">
        <v>14308</v>
      </c>
      <c r="AP61" s="139">
        <v>2407</v>
      </c>
      <c r="AQ61" s="139">
        <v>1314</v>
      </c>
      <c r="AR61" s="114">
        <v>19.75</v>
      </c>
      <c r="AS61" s="152"/>
      <c r="AT61" s="138">
        <v>277</v>
      </c>
      <c r="AU61" s="191">
        <v>6783</v>
      </c>
      <c r="AV61" s="146"/>
      <c r="AW61" s="150">
        <v>2.522707034728406</v>
      </c>
      <c r="AX61" s="150">
        <v>39</v>
      </c>
      <c r="AY61" s="151">
        <v>-2576</v>
      </c>
      <c r="AZ61" s="152"/>
      <c r="BA61" s="152"/>
      <c r="BB61" s="152"/>
      <c r="BC61" s="150">
        <v>64.3</v>
      </c>
      <c r="BD61" s="151">
        <v>334</v>
      </c>
      <c r="BE61" s="151">
        <v>13</v>
      </c>
      <c r="BF61" s="154">
        <v>9213.917145805692</v>
      </c>
      <c r="BG61" s="146">
        <v>22827</v>
      </c>
      <c r="BH61" s="139">
        <v>21476</v>
      </c>
      <c r="BI61" s="139">
        <v>55745</v>
      </c>
      <c r="BJ61" s="139">
        <v>-34269</v>
      </c>
      <c r="BK61" s="146">
        <v>18541</v>
      </c>
      <c r="BL61" s="146">
        <v>18172</v>
      </c>
      <c r="BM61" s="160"/>
      <c r="BO61" s="138">
        <v>-290</v>
      </c>
      <c r="BP61" s="138">
        <v>383</v>
      </c>
      <c r="BQ61" s="139">
        <v>2537</v>
      </c>
      <c r="BR61" s="138">
        <v>1373</v>
      </c>
      <c r="BS61" s="139"/>
      <c r="BT61" s="139"/>
      <c r="BU61" s="139">
        <v>1164</v>
      </c>
      <c r="BV61" s="139">
        <v>30</v>
      </c>
      <c r="BY61" s="138">
        <v>1194</v>
      </c>
      <c r="BZ61" s="139">
        <v>941</v>
      </c>
      <c r="CA61" s="139">
        <v>2454</v>
      </c>
      <c r="CB61" s="176"/>
      <c r="CC61" s="138">
        <v>877</v>
      </c>
      <c r="CD61" s="151">
        <v>-827</v>
      </c>
      <c r="CE61" s="151">
        <v>-1502</v>
      </c>
      <c r="CF61" s="138">
        <v>18541</v>
      </c>
      <c r="CG61" s="139">
        <v>15614</v>
      </c>
      <c r="CH61" s="139">
        <v>1594</v>
      </c>
      <c r="CI61" s="139">
        <v>1333</v>
      </c>
      <c r="CJ61" s="114">
        <v>19.75</v>
      </c>
      <c r="CK61" s="152"/>
      <c r="CL61" s="138">
        <v>47</v>
      </c>
      <c r="CM61" s="190">
        <v>6684</v>
      </c>
      <c r="CN61" s="146"/>
      <c r="CO61" s="150">
        <v>1.4175482265090231</v>
      </c>
      <c r="CP61" s="150">
        <v>46.11188318018709</v>
      </c>
      <c r="CQ61" s="151">
        <v>-2771.3943746259724</v>
      </c>
      <c r="CR61" s="152"/>
      <c r="CS61" s="152"/>
      <c r="CT61" s="152"/>
      <c r="CU61" s="150">
        <v>65.97059224374215</v>
      </c>
      <c r="CV61" s="151">
        <v>284.5601436265709</v>
      </c>
      <c r="CW61" s="151">
        <v>12.844693605683835</v>
      </c>
      <c r="CX61" s="154">
        <v>8086.175942549371</v>
      </c>
      <c r="CY61" s="146">
        <v>18735</v>
      </c>
      <c r="CZ61" s="139">
        <v>10623</v>
      </c>
      <c r="DA61" s="139">
        <v>46434</v>
      </c>
      <c r="DB61" s="139">
        <v>-35811</v>
      </c>
      <c r="DC61" s="146">
        <v>18851</v>
      </c>
      <c r="DD61" s="146">
        <v>18737</v>
      </c>
      <c r="DE61" s="160"/>
      <c r="DG61" s="138">
        <v>-233</v>
      </c>
      <c r="DH61" s="138">
        <v>496</v>
      </c>
      <c r="DI61" s="139">
        <v>2040</v>
      </c>
      <c r="DJ61" s="138">
        <v>1473</v>
      </c>
      <c r="DK61" s="139">
        <v>1773</v>
      </c>
      <c r="DL61" s="139"/>
      <c r="DM61" s="139">
        <v>2340</v>
      </c>
      <c r="DN61" s="139">
        <v>30</v>
      </c>
      <c r="DQ61" s="138">
        <v>2370</v>
      </c>
      <c r="DR61" s="139">
        <v>3311</v>
      </c>
      <c r="DS61" s="139">
        <v>2989</v>
      </c>
      <c r="DT61" s="176"/>
      <c r="DU61" s="138">
        <v>1137</v>
      </c>
      <c r="DV61" s="151">
        <v>-1369</v>
      </c>
      <c r="DW61" s="138">
        <v>-965</v>
      </c>
      <c r="DX61" s="138">
        <v>18851</v>
      </c>
      <c r="DY61" s="146">
        <v>15697</v>
      </c>
      <c r="DZ61" s="196">
        <v>1787</v>
      </c>
      <c r="EA61" s="146">
        <v>1367</v>
      </c>
      <c r="EB61" s="114">
        <v>19.75</v>
      </c>
      <c r="EC61" s="152"/>
      <c r="ED61" s="138">
        <v>139</v>
      </c>
      <c r="EE61" s="138">
        <v>28059</v>
      </c>
      <c r="EF61" s="138">
        <v>27567</v>
      </c>
      <c r="EG61" s="138">
        <v>23005</v>
      </c>
      <c r="EH61" s="138"/>
      <c r="EI61" s="138"/>
      <c r="EJ61" s="138"/>
      <c r="EK61" s="3">
        <v>-4704</v>
      </c>
      <c r="EL61" s="138">
        <v>162</v>
      </c>
      <c r="EM61" s="138">
        <v>154</v>
      </c>
      <c r="EN61" s="3">
        <v>-5089</v>
      </c>
      <c r="EO61" s="138">
        <v>411</v>
      </c>
      <c r="EP61" s="138">
        <v>722</v>
      </c>
      <c r="EQ61" s="3">
        <v>-5996</v>
      </c>
      <c r="ER61" s="138">
        <v>500</v>
      </c>
      <c r="ES61" s="138">
        <v>1542</v>
      </c>
      <c r="ET61" s="163"/>
      <c r="EU61" s="163">
        <v>2000</v>
      </c>
      <c r="EV61" s="138">
        <v>4000</v>
      </c>
      <c r="EW61" s="138">
        <v>-500</v>
      </c>
      <c r="EX61" s="138">
        <v>4000</v>
      </c>
      <c r="EY61" s="138">
        <v>-1500</v>
      </c>
      <c r="EZ61" s="138">
        <v>12044</v>
      </c>
      <c r="FA61" s="138">
        <v>7360</v>
      </c>
      <c r="FB61" s="138">
        <v>4684</v>
      </c>
      <c r="FC61" s="138">
        <v>502</v>
      </c>
      <c r="FD61" s="138">
        <v>14717</v>
      </c>
      <c r="FE61" s="138">
        <v>9853</v>
      </c>
      <c r="FF61" s="138">
        <v>4864</v>
      </c>
      <c r="FG61" s="138">
        <v>1037</v>
      </c>
      <c r="FH61" s="138">
        <v>15848</v>
      </c>
      <c r="FI61" s="138">
        <v>10473</v>
      </c>
      <c r="FJ61" s="138">
        <v>5375</v>
      </c>
      <c r="FK61" s="138">
        <v>1037</v>
      </c>
      <c r="FL61" s="147">
        <v>3573</v>
      </c>
      <c r="FM61" s="147">
        <v>3905.056759545924</v>
      </c>
      <c r="FO61" s="181">
        <f t="shared" si="0"/>
        <v>794.7848101265823</v>
      </c>
      <c r="FP61" s="179">
        <f t="shared" si="1"/>
        <v>118.90855926489861</v>
      </c>
      <c r="FR61" s="184"/>
      <c r="FV61" s="184">
        <v>941</v>
      </c>
      <c r="FW61" s="2">
        <f t="shared" si="2"/>
        <v>-941</v>
      </c>
    </row>
    <row r="62" spans="1:179" ht="12.75">
      <c r="A62" s="82">
        <v>179</v>
      </c>
      <c r="B62" s="80" t="s">
        <v>60</v>
      </c>
      <c r="C62" s="191">
        <v>132062</v>
      </c>
      <c r="D62" s="146"/>
      <c r="E62" s="150">
        <v>0.671442718326422</v>
      </c>
      <c r="F62" s="150">
        <v>57.6</v>
      </c>
      <c r="G62" s="151">
        <v>-2793</v>
      </c>
      <c r="H62" s="152"/>
      <c r="I62" s="152"/>
      <c r="J62" s="152"/>
      <c r="K62" s="150">
        <v>58</v>
      </c>
      <c r="L62" s="151">
        <v>61</v>
      </c>
      <c r="M62" s="151">
        <v>3</v>
      </c>
      <c r="N62" s="154">
        <v>6723.213339189168</v>
      </c>
      <c r="O62" s="146">
        <v>326050</v>
      </c>
      <c r="P62" s="139">
        <v>156914</v>
      </c>
      <c r="Q62" s="139">
        <v>713378</v>
      </c>
      <c r="R62" s="139">
        <v>-556464</v>
      </c>
      <c r="S62" s="146">
        <v>427482</v>
      </c>
      <c r="T62" s="139">
        <v>131558</v>
      </c>
      <c r="U62" s="160"/>
      <c r="W62" s="138">
        <v>10168</v>
      </c>
      <c r="X62" s="138">
        <v>2116</v>
      </c>
      <c r="Y62" s="139">
        <v>14860</v>
      </c>
      <c r="Z62" s="138">
        <v>39408</v>
      </c>
      <c r="AA62" s="139">
        <v>157</v>
      </c>
      <c r="AB62" s="138">
        <v>102</v>
      </c>
      <c r="AC62" s="139">
        <v>-24493</v>
      </c>
      <c r="AD62" s="139">
        <v>340</v>
      </c>
      <c r="AF62" s="139">
        <v>-4</v>
      </c>
      <c r="AG62" s="139">
        <v>-24157</v>
      </c>
      <c r="AH62" s="139">
        <v>142333</v>
      </c>
      <c r="AI62" s="139">
        <v>2534</v>
      </c>
      <c r="AJ62" s="176"/>
      <c r="AK62" s="139">
        <v>-881</v>
      </c>
      <c r="AL62" s="151">
        <v>-25477</v>
      </c>
      <c r="AM62" s="151">
        <v>-66299</v>
      </c>
      <c r="AN62" s="146">
        <v>427482</v>
      </c>
      <c r="AO62" s="139">
        <v>369013</v>
      </c>
      <c r="AP62" s="139">
        <v>24412</v>
      </c>
      <c r="AQ62" s="139">
        <v>34057</v>
      </c>
      <c r="AR62" s="114">
        <v>19</v>
      </c>
      <c r="AS62" s="152"/>
      <c r="AT62" s="138">
        <v>246</v>
      </c>
      <c r="AU62" s="191">
        <v>133482</v>
      </c>
      <c r="AV62" s="146"/>
      <c r="AW62" s="150">
        <v>0.5014615997874037</v>
      </c>
      <c r="AX62" s="150">
        <v>66.7</v>
      </c>
      <c r="AY62" s="151">
        <v>-3401</v>
      </c>
      <c r="AZ62" s="152"/>
      <c r="BA62" s="152"/>
      <c r="BB62" s="152"/>
      <c r="BC62" s="150">
        <v>51.5</v>
      </c>
      <c r="BD62" s="151">
        <v>21</v>
      </c>
      <c r="BE62" s="151">
        <v>1</v>
      </c>
      <c r="BF62" s="154">
        <v>6486.559985616038</v>
      </c>
      <c r="BG62" s="146">
        <v>337557</v>
      </c>
      <c r="BH62" s="139">
        <v>160883</v>
      </c>
      <c r="BI62" s="139">
        <v>745202</v>
      </c>
      <c r="BJ62" s="139">
        <v>-584319</v>
      </c>
      <c r="BK62" s="146">
        <v>440486</v>
      </c>
      <c r="BL62" s="146">
        <v>138148</v>
      </c>
      <c r="BM62" s="160"/>
      <c r="BO62" s="138">
        <v>9833</v>
      </c>
      <c r="BP62" s="138">
        <v>2185</v>
      </c>
      <c r="BQ62" s="139">
        <v>6333</v>
      </c>
      <c r="BR62" s="138">
        <v>52468</v>
      </c>
      <c r="BS62" s="139"/>
      <c r="BU62" s="139">
        <v>-46135</v>
      </c>
      <c r="BV62" s="139">
        <v>340</v>
      </c>
      <c r="BX62" s="139">
        <v>-5</v>
      </c>
      <c r="BY62" s="138">
        <v>-45800</v>
      </c>
      <c r="BZ62" s="139">
        <v>96338</v>
      </c>
      <c r="CA62" s="139">
        <v>-6319</v>
      </c>
      <c r="CB62" s="176"/>
      <c r="CC62" s="139">
        <v>-3363</v>
      </c>
      <c r="CD62" s="151">
        <v>-19465</v>
      </c>
      <c r="CE62" s="151">
        <v>-84767</v>
      </c>
      <c r="CF62" s="138">
        <v>440486</v>
      </c>
      <c r="CG62" s="139">
        <v>388335</v>
      </c>
      <c r="CH62" s="139">
        <v>16975</v>
      </c>
      <c r="CI62" s="139">
        <v>35176</v>
      </c>
      <c r="CJ62" s="114">
        <v>19.5</v>
      </c>
      <c r="CK62" s="152"/>
      <c r="CL62" s="138">
        <v>220</v>
      </c>
      <c r="CM62" s="190">
        <v>134658</v>
      </c>
      <c r="CN62" s="146"/>
      <c r="CO62" s="150">
        <v>1.539645852749301</v>
      </c>
      <c r="CP62" s="150">
        <v>63.83569808614132</v>
      </c>
      <c r="CQ62" s="151">
        <v>-3500.3490323634687</v>
      </c>
      <c r="CR62" s="152"/>
      <c r="CS62" s="152"/>
      <c r="CT62" s="152"/>
      <c r="CU62" s="150">
        <v>48.96630934150077</v>
      </c>
      <c r="CV62" s="151">
        <v>33.358582483031086</v>
      </c>
      <c r="CW62" s="151">
        <v>1.8034148267673318</v>
      </c>
      <c r="CX62" s="154">
        <v>6751.57064563561</v>
      </c>
      <c r="CY62" s="146">
        <v>335028</v>
      </c>
      <c r="CZ62" s="139">
        <v>169500</v>
      </c>
      <c r="DA62" s="139">
        <v>769504</v>
      </c>
      <c r="DB62" s="139">
        <v>-600004</v>
      </c>
      <c r="DC62" s="146">
        <v>478131</v>
      </c>
      <c r="DD62" s="146">
        <v>144277</v>
      </c>
      <c r="DE62" s="160"/>
      <c r="DG62" s="138">
        <v>9464</v>
      </c>
      <c r="DH62" s="138">
        <v>2404</v>
      </c>
      <c r="DI62" s="139">
        <v>34272</v>
      </c>
      <c r="DJ62" s="138">
        <v>72759</v>
      </c>
      <c r="DK62" s="139"/>
      <c r="DM62" s="139">
        <v>-38487</v>
      </c>
      <c r="DN62" s="139">
        <v>340</v>
      </c>
      <c r="DP62" s="139">
        <v>-4</v>
      </c>
      <c r="DQ62" s="138">
        <v>-38151</v>
      </c>
      <c r="DR62" s="139">
        <v>58187</v>
      </c>
      <c r="DS62" s="139">
        <v>24599</v>
      </c>
      <c r="DT62" s="176"/>
      <c r="DU62" s="139">
        <v>9578</v>
      </c>
      <c r="DV62" s="151">
        <v>-19796</v>
      </c>
      <c r="DW62" s="138">
        <v>-73046</v>
      </c>
      <c r="DX62" s="138">
        <v>478131</v>
      </c>
      <c r="DY62" s="146">
        <v>422619</v>
      </c>
      <c r="DZ62" s="196">
        <v>18165</v>
      </c>
      <c r="EA62" s="146">
        <v>37347</v>
      </c>
      <c r="EB62" s="114">
        <v>20</v>
      </c>
      <c r="EC62" s="152"/>
      <c r="ED62" s="138">
        <v>171</v>
      </c>
      <c r="EE62" s="138">
        <v>262726</v>
      </c>
      <c r="EF62" s="138">
        <v>274729</v>
      </c>
      <c r="EG62" s="138">
        <v>292862</v>
      </c>
      <c r="EH62" s="138"/>
      <c r="EI62" s="138"/>
      <c r="EJ62" s="138"/>
      <c r="EK62" s="3">
        <v>-88021</v>
      </c>
      <c r="EL62" s="138">
        <v>4046</v>
      </c>
      <c r="EM62" s="138">
        <v>15141</v>
      </c>
      <c r="EN62" s="3">
        <v>-93958</v>
      </c>
      <c r="EO62" s="138">
        <v>2362</v>
      </c>
      <c r="EP62" s="138">
        <v>13147</v>
      </c>
      <c r="EQ62" s="3">
        <v>-112558</v>
      </c>
      <c r="ER62" s="138">
        <v>1734</v>
      </c>
      <c r="ES62" s="138">
        <v>13179</v>
      </c>
      <c r="ET62" s="163">
        <v>85000</v>
      </c>
      <c r="EU62" s="163">
        <v>-3900</v>
      </c>
      <c r="EV62" s="138">
        <v>80000</v>
      </c>
      <c r="EW62" s="138">
        <v>9047</v>
      </c>
      <c r="EX62" s="138">
        <v>30000</v>
      </c>
      <c r="EY62" s="138">
        <v>4931</v>
      </c>
      <c r="EZ62" s="138">
        <v>312221</v>
      </c>
      <c r="FA62" s="138">
        <v>246968</v>
      </c>
      <c r="FB62" s="138">
        <v>65253</v>
      </c>
      <c r="FC62" s="138">
        <v>282935</v>
      </c>
      <c r="FD62" s="138">
        <v>381804</v>
      </c>
      <c r="FE62" s="138">
        <v>307172</v>
      </c>
      <c r="FF62" s="138">
        <v>74632</v>
      </c>
      <c r="FG62" s="138">
        <v>281043</v>
      </c>
      <c r="FH62" s="138">
        <v>396938</v>
      </c>
      <c r="FI62" s="138">
        <v>313373</v>
      </c>
      <c r="FJ62" s="138">
        <v>83565</v>
      </c>
      <c r="FK62" s="138">
        <v>225463</v>
      </c>
      <c r="FL62" s="147">
        <v>7228</v>
      </c>
      <c r="FM62" s="147">
        <v>7798.407275887386</v>
      </c>
      <c r="FO62" s="181">
        <f t="shared" si="0"/>
        <v>21130.95</v>
      </c>
      <c r="FP62" s="179">
        <f t="shared" si="1"/>
        <v>156.92309406050887</v>
      </c>
      <c r="FR62" s="184"/>
      <c r="FV62" s="184">
        <v>25477</v>
      </c>
      <c r="FW62" s="2">
        <f t="shared" si="2"/>
        <v>-25477</v>
      </c>
    </row>
    <row r="63" spans="1:179" ht="12.75">
      <c r="A63" s="82">
        <v>181</v>
      </c>
      <c r="B63" s="80" t="s">
        <v>61</v>
      </c>
      <c r="C63" s="191">
        <v>2003</v>
      </c>
      <c r="D63" s="146"/>
      <c r="E63" s="150">
        <v>-0.10783055198973042</v>
      </c>
      <c r="F63" s="150">
        <v>38.4</v>
      </c>
      <c r="G63" s="151">
        <v>-1947</v>
      </c>
      <c r="H63" s="152"/>
      <c r="I63" s="152"/>
      <c r="J63" s="152"/>
      <c r="K63" s="150">
        <v>40.8</v>
      </c>
      <c r="L63" s="151">
        <v>67</v>
      </c>
      <c r="M63" s="151">
        <v>4</v>
      </c>
      <c r="N63" s="154">
        <v>6294.558162755866</v>
      </c>
      <c r="O63" s="146">
        <v>2798</v>
      </c>
      <c r="P63" s="139">
        <v>709</v>
      </c>
      <c r="Q63" s="139">
        <v>11622</v>
      </c>
      <c r="R63" s="139">
        <v>-10913</v>
      </c>
      <c r="S63" s="146">
        <v>4799</v>
      </c>
      <c r="T63" s="139">
        <v>5998</v>
      </c>
      <c r="U63" s="160"/>
      <c r="W63" s="138">
        <v>-63</v>
      </c>
      <c r="X63" s="138">
        <v>32</v>
      </c>
      <c r="Y63" s="139">
        <v>-147</v>
      </c>
      <c r="Z63" s="138">
        <v>332</v>
      </c>
      <c r="AC63" s="139">
        <v>-479</v>
      </c>
      <c r="AG63" s="139">
        <v>-479</v>
      </c>
      <c r="AH63" s="139">
        <v>-478</v>
      </c>
      <c r="AI63" s="139">
        <v>-220</v>
      </c>
      <c r="AJ63" s="176"/>
      <c r="AK63" s="138">
        <v>-67</v>
      </c>
      <c r="AL63" s="151">
        <v>-716</v>
      </c>
      <c r="AM63" s="151">
        <v>-275</v>
      </c>
      <c r="AN63" s="146">
        <v>4799</v>
      </c>
      <c r="AO63" s="139">
        <v>4194</v>
      </c>
      <c r="AP63" s="139">
        <v>347</v>
      </c>
      <c r="AQ63" s="139">
        <v>258</v>
      </c>
      <c r="AR63" s="114">
        <v>19.75</v>
      </c>
      <c r="AS63" s="152"/>
      <c r="AT63" s="138">
        <v>303</v>
      </c>
      <c r="AU63" s="191">
        <v>1986</v>
      </c>
      <c r="AV63" s="146"/>
      <c r="AW63" s="150">
        <v>0.02418207681365576</v>
      </c>
      <c r="AX63" s="150">
        <v>39.2</v>
      </c>
      <c r="AY63" s="151">
        <v>-2088</v>
      </c>
      <c r="AZ63" s="152"/>
      <c r="BA63" s="152"/>
      <c r="BB63" s="152"/>
      <c r="BC63" s="150">
        <v>36.2</v>
      </c>
      <c r="BD63" s="151">
        <v>60</v>
      </c>
      <c r="BE63" s="151">
        <v>3</v>
      </c>
      <c r="BF63" s="154">
        <v>6506.545820745217</v>
      </c>
      <c r="BG63" s="146">
        <v>2819</v>
      </c>
      <c r="BH63" s="139">
        <v>706</v>
      </c>
      <c r="BI63" s="139">
        <v>11887</v>
      </c>
      <c r="BJ63" s="139">
        <v>-11181</v>
      </c>
      <c r="BK63" s="146">
        <v>5120</v>
      </c>
      <c r="BL63" s="146">
        <v>6063</v>
      </c>
      <c r="BM63" s="160"/>
      <c r="BO63" s="138">
        <v>-57</v>
      </c>
      <c r="BP63" s="138">
        <v>15</v>
      </c>
      <c r="BQ63" s="139">
        <v>-40</v>
      </c>
      <c r="BR63" s="138">
        <v>325</v>
      </c>
      <c r="BU63" s="139">
        <v>-365</v>
      </c>
      <c r="BY63" s="138">
        <v>-365</v>
      </c>
      <c r="BZ63" s="139">
        <v>-844</v>
      </c>
      <c r="CA63" s="139">
        <v>-63</v>
      </c>
      <c r="CB63" s="176"/>
      <c r="CC63" s="138">
        <v>-5</v>
      </c>
      <c r="CD63" s="151">
        <v>-646</v>
      </c>
      <c r="CE63" s="151">
        <v>-325</v>
      </c>
      <c r="CF63" s="138">
        <v>5120</v>
      </c>
      <c r="CG63" s="139">
        <v>4591</v>
      </c>
      <c r="CH63" s="139">
        <v>261</v>
      </c>
      <c r="CI63" s="139">
        <v>268</v>
      </c>
      <c r="CJ63" s="114">
        <v>20.5</v>
      </c>
      <c r="CK63" s="152"/>
      <c r="CL63" s="138">
        <v>253</v>
      </c>
      <c r="CM63" s="190">
        <v>1971</v>
      </c>
      <c r="CN63" s="146"/>
      <c r="CO63" s="150">
        <v>0.6191222570532915</v>
      </c>
      <c r="CP63" s="150">
        <v>41.78110018688551</v>
      </c>
      <c r="CQ63" s="151">
        <v>-2256.722475900558</v>
      </c>
      <c r="CR63" s="152"/>
      <c r="CS63" s="152"/>
      <c r="CT63" s="152"/>
      <c r="CU63" s="150">
        <v>34.28499559803798</v>
      </c>
      <c r="CV63" s="151">
        <v>152.71435819381023</v>
      </c>
      <c r="CW63" s="151">
        <v>8.185441811950529</v>
      </c>
      <c r="CX63" s="154">
        <v>6809.741248097413</v>
      </c>
      <c r="CY63" s="146">
        <v>2650</v>
      </c>
      <c r="CZ63" s="139">
        <v>785</v>
      </c>
      <c r="DA63" s="139">
        <v>11915</v>
      </c>
      <c r="DB63" s="139">
        <v>-11130</v>
      </c>
      <c r="DC63" s="146">
        <v>5589</v>
      </c>
      <c r="DD63" s="146">
        <v>5933</v>
      </c>
      <c r="DE63" s="160"/>
      <c r="DG63" s="138">
        <v>-40</v>
      </c>
      <c r="DH63" s="138">
        <v>3</v>
      </c>
      <c r="DI63" s="139">
        <v>355</v>
      </c>
      <c r="DJ63" s="138">
        <v>336</v>
      </c>
      <c r="DM63" s="139">
        <v>19</v>
      </c>
      <c r="DQ63" s="138">
        <v>19</v>
      </c>
      <c r="DR63" s="139">
        <v>-824</v>
      </c>
      <c r="DS63" s="139">
        <v>330</v>
      </c>
      <c r="DT63" s="176"/>
      <c r="DU63" s="138">
        <v>-2</v>
      </c>
      <c r="DV63" s="151">
        <v>-598</v>
      </c>
      <c r="DW63" s="138">
        <v>-267</v>
      </c>
      <c r="DX63" s="138">
        <v>5589</v>
      </c>
      <c r="DY63" s="146">
        <v>5015</v>
      </c>
      <c r="DZ63" s="196">
        <v>257</v>
      </c>
      <c r="EA63" s="146">
        <v>317</v>
      </c>
      <c r="EB63" s="114">
        <v>20.5</v>
      </c>
      <c r="EC63" s="152"/>
      <c r="ED63" s="138">
        <v>213</v>
      </c>
      <c r="EE63" s="138">
        <v>7808</v>
      </c>
      <c r="EF63" s="138">
        <v>8038</v>
      </c>
      <c r="EG63" s="138">
        <v>8231</v>
      </c>
      <c r="EH63" s="138">
        <v>350</v>
      </c>
      <c r="EI63" s="138">
        <v>260</v>
      </c>
      <c r="EJ63" s="138">
        <v>260</v>
      </c>
      <c r="EK63" s="3">
        <v>-204</v>
      </c>
      <c r="EL63" s="138">
        <v>5</v>
      </c>
      <c r="EM63" s="138">
        <v>144</v>
      </c>
      <c r="EN63" s="3">
        <v>-329</v>
      </c>
      <c r="EO63" s="138">
        <v>23</v>
      </c>
      <c r="EP63" s="138">
        <v>44</v>
      </c>
      <c r="EQ63" s="3">
        <v>-862</v>
      </c>
      <c r="ER63" s="138">
        <v>88</v>
      </c>
      <c r="ES63" s="138">
        <v>177</v>
      </c>
      <c r="ET63" s="163">
        <v>1060</v>
      </c>
      <c r="EU63" s="163">
        <v>150</v>
      </c>
      <c r="EV63" s="138">
        <v>840</v>
      </c>
      <c r="EW63" s="138">
        <v>-150</v>
      </c>
      <c r="EX63" s="138">
        <v>1188</v>
      </c>
      <c r="EY63" s="138"/>
      <c r="EZ63" s="138">
        <v>3268</v>
      </c>
      <c r="FA63" s="138">
        <v>2495</v>
      </c>
      <c r="FB63" s="138">
        <v>773</v>
      </c>
      <c r="FC63" s="138">
        <v>107</v>
      </c>
      <c r="FD63" s="138">
        <v>3313</v>
      </c>
      <c r="FE63" s="138">
        <v>2740</v>
      </c>
      <c r="FF63" s="138">
        <v>573</v>
      </c>
      <c r="FG63" s="138">
        <v>107</v>
      </c>
      <c r="FH63" s="138">
        <v>3902</v>
      </c>
      <c r="FI63" s="138">
        <v>3311</v>
      </c>
      <c r="FJ63" s="138">
        <v>591</v>
      </c>
      <c r="FK63" s="138">
        <v>107</v>
      </c>
      <c r="FL63" s="147">
        <v>2353</v>
      </c>
      <c r="FM63" s="147">
        <v>2398.7915407854985</v>
      </c>
      <c r="FO63" s="181">
        <f t="shared" si="0"/>
        <v>244.6341463414634</v>
      </c>
      <c r="FP63" s="179">
        <f t="shared" si="1"/>
        <v>124.11676628181806</v>
      </c>
      <c r="FR63" s="184"/>
      <c r="FV63" s="184">
        <v>716</v>
      </c>
      <c r="FW63" s="2">
        <f t="shared" si="2"/>
        <v>-716</v>
      </c>
    </row>
    <row r="64" spans="1:179" ht="12.75">
      <c r="A64" s="82">
        <v>182</v>
      </c>
      <c r="B64" s="80" t="s">
        <v>62</v>
      </c>
      <c r="C64" s="191">
        <v>22507</v>
      </c>
      <c r="D64" s="146"/>
      <c r="E64" s="150">
        <v>0.8708427106776694</v>
      </c>
      <c r="F64" s="150">
        <v>42.2</v>
      </c>
      <c r="G64" s="151">
        <v>-1814</v>
      </c>
      <c r="H64" s="152"/>
      <c r="I64" s="152"/>
      <c r="J64" s="152"/>
      <c r="K64" s="150">
        <v>59.5</v>
      </c>
      <c r="L64" s="151">
        <v>397</v>
      </c>
      <c r="M64" s="151">
        <v>18</v>
      </c>
      <c r="N64" s="154">
        <v>8204.114275558713</v>
      </c>
      <c r="O64" s="146">
        <v>70219</v>
      </c>
      <c r="P64" s="139">
        <v>41010</v>
      </c>
      <c r="Q64" s="139">
        <v>150959</v>
      </c>
      <c r="R64" s="139">
        <v>-109949</v>
      </c>
      <c r="S64" s="146">
        <v>77193</v>
      </c>
      <c r="T64" s="139">
        <v>38575</v>
      </c>
      <c r="U64" s="160"/>
      <c r="W64" s="138">
        <v>-753</v>
      </c>
      <c r="X64" s="138">
        <v>849</v>
      </c>
      <c r="Y64" s="139">
        <v>5915</v>
      </c>
      <c r="Z64" s="138">
        <v>8034</v>
      </c>
      <c r="AC64" s="139">
        <v>-2119</v>
      </c>
      <c r="AD64" s="139">
        <v>683</v>
      </c>
      <c r="AE64" s="139"/>
      <c r="AG64" s="139">
        <v>-1436</v>
      </c>
      <c r="AH64" s="139">
        <v>4965</v>
      </c>
      <c r="AI64" s="139">
        <v>4339</v>
      </c>
      <c r="AJ64" s="176"/>
      <c r="AK64" s="139">
        <v>-4638</v>
      </c>
      <c r="AL64" s="151">
        <v>-6948</v>
      </c>
      <c r="AM64" s="151">
        <v>-12457</v>
      </c>
      <c r="AN64" s="146">
        <v>77193</v>
      </c>
      <c r="AO64" s="139">
        <v>67422</v>
      </c>
      <c r="AP64" s="139">
        <v>4753</v>
      </c>
      <c r="AQ64" s="139">
        <v>5018</v>
      </c>
      <c r="AR64" s="114">
        <v>21</v>
      </c>
      <c r="AS64" s="152"/>
      <c r="AT64" s="138">
        <v>158</v>
      </c>
      <c r="AU64" s="191">
        <v>22354</v>
      </c>
      <c r="AV64" s="146"/>
      <c r="AW64" s="150">
        <v>0.35666707036453915</v>
      </c>
      <c r="AX64" s="150">
        <v>41.8</v>
      </c>
      <c r="AY64" s="151">
        <v>-2050</v>
      </c>
      <c r="AZ64" s="152"/>
      <c r="BA64" s="152"/>
      <c r="BB64" s="152"/>
      <c r="BC64" s="150">
        <v>57.7</v>
      </c>
      <c r="BD64" s="151">
        <v>257</v>
      </c>
      <c r="BE64" s="151">
        <v>12</v>
      </c>
      <c r="BF64" s="154">
        <v>7926.679788852107</v>
      </c>
      <c r="BG64" s="146">
        <v>72451</v>
      </c>
      <c r="BH64" s="139">
        <v>40333</v>
      </c>
      <c r="BI64" s="139">
        <v>158270</v>
      </c>
      <c r="BJ64" s="139">
        <v>-117937</v>
      </c>
      <c r="BK64" s="146">
        <v>77296</v>
      </c>
      <c r="BL64" s="146">
        <v>42444</v>
      </c>
      <c r="BM64" s="160"/>
      <c r="BO64" s="138">
        <v>-876</v>
      </c>
      <c r="BP64" s="138">
        <v>958</v>
      </c>
      <c r="BQ64" s="139">
        <v>1885</v>
      </c>
      <c r="BR64" s="138">
        <v>8113</v>
      </c>
      <c r="BU64" s="139">
        <v>-6228</v>
      </c>
      <c r="BV64" s="139">
        <v>567</v>
      </c>
      <c r="BW64" s="139"/>
      <c r="BY64" s="138">
        <v>-5661</v>
      </c>
      <c r="BZ64" s="139">
        <v>-697</v>
      </c>
      <c r="CA64" s="139">
        <v>1822</v>
      </c>
      <c r="CB64" s="176"/>
      <c r="CC64" s="139">
        <v>1126</v>
      </c>
      <c r="CD64" s="151">
        <v>-7197</v>
      </c>
      <c r="CE64" s="151">
        <v>-6022</v>
      </c>
      <c r="CF64" s="138">
        <v>77296</v>
      </c>
      <c r="CG64" s="139">
        <v>69198</v>
      </c>
      <c r="CH64" s="139">
        <v>2971</v>
      </c>
      <c r="CI64" s="139">
        <v>5127</v>
      </c>
      <c r="CJ64" s="114">
        <v>21</v>
      </c>
      <c r="CK64" s="152"/>
      <c r="CL64" s="138">
        <v>203</v>
      </c>
      <c r="CM64" s="190">
        <v>22138</v>
      </c>
      <c r="CN64" s="146"/>
      <c r="CO64" s="150">
        <v>1.488040228322914</v>
      </c>
      <c r="CP64" s="150">
        <v>39.076943379702115</v>
      </c>
      <c r="CQ64" s="151">
        <v>-1828.7108139850031</v>
      </c>
      <c r="CR64" s="152"/>
      <c r="CS64" s="152"/>
      <c r="CT64" s="152"/>
      <c r="CU64" s="150">
        <v>58.37762928088693</v>
      </c>
      <c r="CV64" s="151">
        <v>538.5310326136056</v>
      </c>
      <c r="CW64" s="151">
        <v>25.411581270949885</v>
      </c>
      <c r="CX64" s="154">
        <v>7735.206432378715</v>
      </c>
      <c r="CY64" s="146">
        <v>68990</v>
      </c>
      <c r="CZ64" s="139">
        <v>38619</v>
      </c>
      <c r="DA64" s="139">
        <v>156652</v>
      </c>
      <c r="DB64" s="139">
        <v>-118033</v>
      </c>
      <c r="DC64" s="146">
        <v>83116</v>
      </c>
      <c r="DD64" s="146">
        <v>45371</v>
      </c>
      <c r="DE64" s="160"/>
      <c r="DG64" s="138">
        <v>-708</v>
      </c>
      <c r="DH64" s="138">
        <v>371</v>
      </c>
      <c r="DI64" s="139">
        <v>10117</v>
      </c>
      <c r="DJ64" s="138">
        <v>8170</v>
      </c>
      <c r="DL64" s="138">
        <v>637</v>
      </c>
      <c r="DM64" s="139">
        <v>1310</v>
      </c>
      <c r="DN64" s="139">
        <v>247</v>
      </c>
      <c r="DO64" s="139"/>
      <c r="DQ64" s="138">
        <v>1557</v>
      </c>
      <c r="DR64" s="139">
        <v>861</v>
      </c>
      <c r="DS64" s="139">
        <v>9480</v>
      </c>
      <c r="DT64" s="176"/>
      <c r="DU64" s="139">
        <v>2363</v>
      </c>
      <c r="DV64" s="151">
        <v>-6526</v>
      </c>
      <c r="DW64" s="138">
        <v>4943</v>
      </c>
      <c r="DX64" s="138">
        <v>83116</v>
      </c>
      <c r="DY64" s="146">
        <v>73383</v>
      </c>
      <c r="DZ64" s="196">
        <v>4932</v>
      </c>
      <c r="EA64" s="146">
        <v>4801</v>
      </c>
      <c r="EB64" s="114">
        <v>21</v>
      </c>
      <c r="EC64" s="152"/>
      <c r="ED64" s="138">
        <v>68</v>
      </c>
      <c r="EE64" s="138">
        <v>59666</v>
      </c>
      <c r="EF64" s="138">
        <v>63493</v>
      </c>
      <c r="EG64" s="138">
        <v>67543</v>
      </c>
      <c r="EH64" s="138"/>
      <c r="EI64" s="138"/>
      <c r="EJ64" s="138"/>
      <c r="EK64" s="3">
        <v>-24108</v>
      </c>
      <c r="EL64" s="138">
        <v>4078</v>
      </c>
      <c r="EM64" s="138">
        <v>3234</v>
      </c>
      <c r="EN64" s="3">
        <v>-10849</v>
      </c>
      <c r="EO64" s="138">
        <v>652</v>
      </c>
      <c r="EP64" s="138">
        <v>2353</v>
      </c>
      <c r="EQ64" s="3">
        <v>-7264</v>
      </c>
      <c r="ER64" s="138">
        <v>64</v>
      </c>
      <c r="ES64" s="138">
        <v>2663</v>
      </c>
      <c r="ET64" s="163">
        <v>10000</v>
      </c>
      <c r="EU64" s="163">
        <v>1081</v>
      </c>
      <c r="EV64" s="138">
        <v>10000</v>
      </c>
      <c r="EW64" s="138">
        <v>-235</v>
      </c>
      <c r="EX64" s="138">
        <v>4000</v>
      </c>
      <c r="EY64" s="138"/>
      <c r="EZ64" s="138">
        <v>43376</v>
      </c>
      <c r="FA64" s="138">
        <v>35194</v>
      </c>
      <c r="FB64" s="138">
        <v>8182</v>
      </c>
      <c r="FC64" s="138">
        <v>7307</v>
      </c>
      <c r="FD64" s="138">
        <v>45944</v>
      </c>
      <c r="FE64" s="138">
        <v>37997</v>
      </c>
      <c r="FF64" s="138">
        <v>7947</v>
      </c>
      <c r="FG64" s="138">
        <v>6288</v>
      </c>
      <c r="FH64" s="138">
        <v>43418</v>
      </c>
      <c r="FI64" s="138">
        <v>31310</v>
      </c>
      <c r="FJ64" s="138">
        <v>12108</v>
      </c>
      <c r="FK64" s="138">
        <v>5846</v>
      </c>
      <c r="FL64" s="147">
        <v>3479</v>
      </c>
      <c r="FM64" s="147">
        <v>3534.5352062270736</v>
      </c>
      <c r="FO64" s="181">
        <f t="shared" si="0"/>
        <v>3494.4285714285716</v>
      </c>
      <c r="FP64" s="179">
        <f t="shared" si="1"/>
        <v>157.8475278448176</v>
      </c>
      <c r="FR64" s="184"/>
      <c r="FV64" s="184">
        <v>6948</v>
      </c>
      <c r="FW64" s="2">
        <f t="shared" si="2"/>
        <v>-6948</v>
      </c>
    </row>
    <row r="65" spans="1:179" ht="12.75">
      <c r="A65" s="82">
        <v>186</v>
      </c>
      <c r="B65" s="80" t="s">
        <v>63</v>
      </c>
      <c r="C65" s="191">
        <v>38966</v>
      </c>
      <c r="D65" s="146"/>
      <c r="E65" s="150">
        <v>6.162642521797451</v>
      </c>
      <c r="F65" s="150">
        <v>28.8</v>
      </c>
      <c r="G65" s="151">
        <v>-1340</v>
      </c>
      <c r="H65" s="152"/>
      <c r="I65" s="152"/>
      <c r="J65" s="152"/>
      <c r="K65" s="150">
        <v>72.4</v>
      </c>
      <c r="L65" s="151">
        <v>32</v>
      </c>
      <c r="M65" s="151">
        <v>2</v>
      </c>
      <c r="N65" s="154">
        <v>5780.3982959503155</v>
      </c>
      <c r="O65" s="146">
        <v>91845</v>
      </c>
      <c r="P65" s="139">
        <v>41523</v>
      </c>
      <c r="Q65" s="139">
        <v>202323</v>
      </c>
      <c r="R65" s="139">
        <v>-160800</v>
      </c>
      <c r="S65" s="146">
        <v>152079</v>
      </c>
      <c r="T65" s="139">
        <v>26163</v>
      </c>
      <c r="U65" s="160"/>
      <c r="W65" s="138">
        <v>-330</v>
      </c>
      <c r="X65" s="138">
        <v>609</v>
      </c>
      <c r="Y65" s="139">
        <v>17721</v>
      </c>
      <c r="Z65" s="138">
        <v>9998</v>
      </c>
      <c r="AA65" s="139"/>
      <c r="AC65" s="139">
        <v>7723</v>
      </c>
      <c r="AD65" s="138">
        <v>-556</v>
      </c>
      <c r="AE65" s="138">
        <v>97</v>
      </c>
      <c r="AG65" s="139">
        <v>7264</v>
      </c>
      <c r="AH65" s="139">
        <v>58732</v>
      </c>
      <c r="AI65" s="139">
        <v>13496</v>
      </c>
      <c r="AJ65" s="176"/>
      <c r="AK65" s="139">
        <v>-1701</v>
      </c>
      <c r="AL65" s="151">
        <v>-2326</v>
      </c>
      <c r="AM65" s="151">
        <v>-1526</v>
      </c>
      <c r="AN65" s="146">
        <v>152079</v>
      </c>
      <c r="AO65" s="139">
        <v>137517</v>
      </c>
      <c r="AP65" s="139">
        <v>5049</v>
      </c>
      <c r="AQ65" s="139">
        <v>9463</v>
      </c>
      <c r="AR65" s="114">
        <v>19</v>
      </c>
      <c r="AS65" s="152"/>
      <c r="AT65" s="138">
        <v>53</v>
      </c>
      <c r="AU65" s="191">
        <v>39646</v>
      </c>
      <c r="AV65" s="146"/>
      <c r="AW65" s="150">
        <v>3.1716273676072673</v>
      </c>
      <c r="AX65" s="150">
        <v>32.9</v>
      </c>
      <c r="AY65" s="151">
        <v>-1599</v>
      </c>
      <c r="AZ65" s="152"/>
      <c r="BA65" s="152"/>
      <c r="BB65" s="152"/>
      <c r="BC65" s="150">
        <v>68.3</v>
      </c>
      <c r="BD65" s="151">
        <v>13</v>
      </c>
      <c r="BE65" s="151">
        <v>1</v>
      </c>
      <c r="BF65" s="154">
        <v>6074.0553902033</v>
      </c>
      <c r="BG65" s="146">
        <v>97892</v>
      </c>
      <c r="BH65" s="139">
        <v>43875</v>
      </c>
      <c r="BI65" s="139">
        <v>218189</v>
      </c>
      <c r="BJ65" s="139">
        <v>-174314</v>
      </c>
      <c r="BK65" s="146">
        <v>155484</v>
      </c>
      <c r="BL65" s="146">
        <v>26072</v>
      </c>
      <c r="BM65" s="160"/>
      <c r="BO65" s="138">
        <v>-209</v>
      </c>
      <c r="BP65" s="138">
        <v>595</v>
      </c>
      <c r="BQ65" s="139">
        <v>7676</v>
      </c>
      <c r="BR65" s="138">
        <v>10920</v>
      </c>
      <c r="BS65" s="139"/>
      <c r="BU65" s="139">
        <v>-3244</v>
      </c>
      <c r="BV65" s="138">
        <v>-210</v>
      </c>
      <c r="BW65" s="138">
        <v>-49</v>
      </c>
      <c r="BY65" s="138">
        <v>-3503</v>
      </c>
      <c r="BZ65" s="139">
        <v>55228</v>
      </c>
      <c r="CA65" s="139">
        <v>3894</v>
      </c>
      <c r="CB65" s="176"/>
      <c r="CC65" s="139">
        <v>-75</v>
      </c>
      <c r="CD65" s="151">
        <v>-2058</v>
      </c>
      <c r="CE65" s="151">
        <v>-11183</v>
      </c>
      <c r="CF65" s="138">
        <v>155484</v>
      </c>
      <c r="CG65" s="139">
        <v>141996</v>
      </c>
      <c r="CH65" s="139">
        <v>3859</v>
      </c>
      <c r="CI65" s="139">
        <v>9629</v>
      </c>
      <c r="CJ65" s="114">
        <v>19</v>
      </c>
      <c r="CK65" s="152"/>
      <c r="CL65" s="138">
        <v>118</v>
      </c>
      <c r="CM65" s="190">
        <v>39953</v>
      </c>
      <c r="CN65" s="146"/>
      <c r="CO65" s="150">
        <v>5.336144578313253</v>
      </c>
      <c r="CP65" s="150">
        <v>33.21295237454594</v>
      </c>
      <c r="CQ65" s="151">
        <v>-1768.5780792431108</v>
      </c>
      <c r="CR65" s="152"/>
      <c r="CS65" s="152"/>
      <c r="CT65" s="152"/>
      <c r="CU65" s="150">
        <v>67.06640737539614</v>
      </c>
      <c r="CV65" s="151">
        <v>2.8032938702976</v>
      </c>
      <c r="CW65" s="151">
        <v>0.16497840913676903</v>
      </c>
      <c r="CX65" s="154">
        <v>6202.037393937877</v>
      </c>
      <c r="CY65" s="146">
        <v>103313</v>
      </c>
      <c r="CZ65" s="139">
        <v>47617</v>
      </c>
      <c r="DA65" s="139">
        <v>227595</v>
      </c>
      <c r="DB65" s="139">
        <v>-179978</v>
      </c>
      <c r="DC65" s="146">
        <v>166876</v>
      </c>
      <c r="DD65" s="146">
        <v>25647</v>
      </c>
      <c r="DE65" s="160"/>
      <c r="DG65" s="138">
        <v>-118</v>
      </c>
      <c r="DH65" s="138">
        <v>428</v>
      </c>
      <c r="DI65" s="139">
        <v>12855</v>
      </c>
      <c r="DJ65" s="138">
        <v>12687</v>
      </c>
      <c r="DK65" s="139"/>
      <c r="DM65" s="139">
        <v>168</v>
      </c>
      <c r="DN65" s="138">
        <v>-568</v>
      </c>
      <c r="DO65" s="138">
        <v>-96</v>
      </c>
      <c r="DQ65" s="138">
        <v>-496</v>
      </c>
      <c r="DR65" s="139">
        <v>54732</v>
      </c>
      <c r="DS65" s="139">
        <v>7066</v>
      </c>
      <c r="DT65" s="176"/>
      <c r="DU65" s="139">
        <v>1293</v>
      </c>
      <c r="DV65" s="151">
        <v>-2058</v>
      </c>
      <c r="DW65" s="138">
        <v>-7231</v>
      </c>
      <c r="DX65" s="138">
        <v>166876</v>
      </c>
      <c r="DY65" s="146">
        <v>152630</v>
      </c>
      <c r="DZ65" s="196">
        <v>4206</v>
      </c>
      <c r="EA65" s="146">
        <v>10040</v>
      </c>
      <c r="EB65" s="114">
        <v>19</v>
      </c>
      <c r="EC65" s="152"/>
      <c r="ED65" s="138">
        <v>131</v>
      </c>
      <c r="EE65" s="138">
        <v>81071</v>
      </c>
      <c r="EF65" s="138">
        <v>88407</v>
      </c>
      <c r="EG65" s="138">
        <v>89300</v>
      </c>
      <c r="EH65" s="138"/>
      <c r="EI65" s="138"/>
      <c r="EJ65" s="138"/>
      <c r="EK65" s="3">
        <v>-21586</v>
      </c>
      <c r="EL65" s="138">
        <v>1592</v>
      </c>
      <c r="EM65" s="138">
        <v>4972</v>
      </c>
      <c r="EN65" s="3">
        <v>-22057</v>
      </c>
      <c r="EO65" s="138">
        <v>862</v>
      </c>
      <c r="EP65" s="138">
        <v>6118</v>
      </c>
      <c r="EQ65" s="3">
        <v>-19983</v>
      </c>
      <c r="ER65" s="138">
        <v>316</v>
      </c>
      <c r="ES65" s="138">
        <v>5370</v>
      </c>
      <c r="ET65" s="163"/>
      <c r="EU65" s="163">
        <v>1020</v>
      </c>
      <c r="EV65" s="138"/>
      <c r="EW65" s="138">
        <v>8564</v>
      </c>
      <c r="EX65" s="138"/>
      <c r="EY65" s="138">
        <v>7237</v>
      </c>
      <c r="EZ65" s="138">
        <v>34132</v>
      </c>
      <c r="FA65" s="138">
        <v>5090</v>
      </c>
      <c r="FB65" s="138">
        <v>29042</v>
      </c>
      <c r="FC65" s="138">
        <v>5021</v>
      </c>
      <c r="FD65" s="138">
        <v>40639</v>
      </c>
      <c r="FE65" s="138">
        <v>3032</v>
      </c>
      <c r="FF65" s="138">
        <v>37607</v>
      </c>
      <c r="FG65" s="138">
        <v>5009</v>
      </c>
      <c r="FH65" s="138">
        <v>45818</v>
      </c>
      <c r="FI65" s="138">
        <v>1500</v>
      </c>
      <c r="FJ65" s="138">
        <v>44318</v>
      </c>
      <c r="FK65" s="138">
        <v>5009</v>
      </c>
      <c r="FL65" s="147">
        <v>3558</v>
      </c>
      <c r="FM65" s="147">
        <v>3995.3589264995207</v>
      </c>
      <c r="FO65" s="181">
        <f t="shared" si="0"/>
        <v>8033.1578947368425</v>
      </c>
      <c r="FP65" s="179">
        <f t="shared" si="1"/>
        <v>201.0651989772193</v>
      </c>
      <c r="FR65" s="184"/>
      <c r="FV65" s="184">
        <v>2326</v>
      </c>
      <c r="FW65" s="2">
        <f t="shared" si="2"/>
        <v>-2326</v>
      </c>
    </row>
    <row r="66" spans="1:179" ht="12.75">
      <c r="A66" s="82">
        <v>202</v>
      </c>
      <c r="B66" s="80" t="s">
        <v>64</v>
      </c>
      <c r="C66" s="191">
        <v>31081</v>
      </c>
      <c r="D66" s="146"/>
      <c r="E66" s="150">
        <v>10.86783042394015</v>
      </c>
      <c r="F66" s="150">
        <v>48.4</v>
      </c>
      <c r="G66" s="151">
        <v>-1850</v>
      </c>
      <c r="H66" s="152"/>
      <c r="I66" s="152"/>
      <c r="J66" s="152"/>
      <c r="K66" s="150">
        <v>53.6</v>
      </c>
      <c r="L66" s="151">
        <v>551</v>
      </c>
      <c r="M66" s="151">
        <v>34</v>
      </c>
      <c r="N66" s="154">
        <v>5853.640487757794</v>
      </c>
      <c r="O66" s="146">
        <v>69952</v>
      </c>
      <c r="P66" s="139">
        <v>36422</v>
      </c>
      <c r="Q66" s="139">
        <v>164967</v>
      </c>
      <c r="R66" s="139">
        <v>-128545</v>
      </c>
      <c r="S66" s="146">
        <v>112727</v>
      </c>
      <c r="T66" s="139">
        <v>26687</v>
      </c>
      <c r="U66" s="160"/>
      <c r="W66" s="138">
        <v>1045</v>
      </c>
      <c r="X66" s="138">
        <v>417</v>
      </c>
      <c r="Y66" s="139">
        <v>12331</v>
      </c>
      <c r="Z66" s="138">
        <v>7246</v>
      </c>
      <c r="AC66" s="139">
        <v>5085</v>
      </c>
      <c r="AD66" s="138">
        <v>17</v>
      </c>
      <c r="AE66" s="139"/>
      <c r="AG66" s="139">
        <v>5102</v>
      </c>
      <c r="AH66" s="139">
        <v>20931</v>
      </c>
      <c r="AI66" s="139">
        <v>9695</v>
      </c>
      <c r="AJ66" s="176"/>
      <c r="AK66" s="139">
        <v>-1067</v>
      </c>
      <c r="AL66" s="151">
        <v>-460</v>
      </c>
      <c r="AM66" s="151">
        <v>-4707</v>
      </c>
      <c r="AN66" s="146">
        <v>112727</v>
      </c>
      <c r="AO66" s="139">
        <v>101036</v>
      </c>
      <c r="AP66" s="139">
        <v>6374</v>
      </c>
      <c r="AQ66" s="139">
        <v>5317</v>
      </c>
      <c r="AR66" s="114">
        <v>18.5</v>
      </c>
      <c r="AS66" s="152"/>
      <c r="AT66" s="138">
        <v>74</v>
      </c>
      <c r="AU66" s="191">
        <v>31363</v>
      </c>
      <c r="AV66" s="146"/>
      <c r="AW66" s="150">
        <v>6.451038575667655</v>
      </c>
      <c r="AX66" s="150">
        <v>48.4</v>
      </c>
      <c r="AY66" s="151">
        <v>-2230</v>
      </c>
      <c r="AZ66" s="152"/>
      <c r="BA66" s="152"/>
      <c r="BB66" s="152"/>
      <c r="BC66" s="150">
        <v>53.1</v>
      </c>
      <c r="BD66" s="151">
        <v>185</v>
      </c>
      <c r="BE66" s="151">
        <v>11</v>
      </c>
      <c r="BF66" s="154">
        <v>5973.950196090935</v>
      </c>
      <c r="BG66" s="146">
        <v>71954</v>
      </c>
      <c r="BH66" s="139">
        <v>34061</v>
      </c>
      <c r="BI66" s="139">
        <v>171700</v>
      </c>
      <c r="BJ66" s="139">
        <v>-137639</v>
      </c>
      <c r="BK66" s="146">
        <v>113909</v>
      </c>
      <c r="BL66" s="146">
        <v>28835</v>
      </c>
      <c r="BM66" s="160"/>
      <c r="BO66" s="138">
        <v>563</v>
      </c>
      <c r="BP66" s="138">
        <v>300</v>
      </c>
      <c r="BQ66" s="139">
        <v>5968</v>
      </c>
      <c r="BR66" s="138">
        <v>7181</v>
      </c>
      <c r="BU66" s="139">
        <v>-1213</v>
      </c>
      <c r="BV66" s="138">
        <v>17</v>
      </c>
      <c r="BW66" s="139"/>
      <c r="BY66" s="138">
        <v>-1196</v>
      </c>
      <c r="BZ66" s="139">
        <v>19735</v>
      </c>
      <c r="CA66" s="139">
        <v>3573</v>
      </c>
      <c r="CB66" s="176"/>
      <c r="CC66" s="139">
        <v>712</v>
      </c>
      <c r="CD66" s="151">
        <v>-457</v>
      </c>
      <c r="CE66" s="151">
        <v>-9957</v>
      </c>
      <c r="CF66" s="138">
        <v>113909</v>
      </c>
      <c r="CG66" s="139">
        <v>103426</v>
      </c>
      <c r="CH66" s="139">
        <v>5076</v>
      </c>
      <c r="CI66" s="139">
        <v>5407</v>
      </c>
      <c r="CJ66" s="114">
        <v>18.5</v>
      </c>
      <c r="CK66" s="152"/>
      <c r="CL66" s="138">
        <v>121</v>
      </c>
      <c r="CM66" s="190">
        <v>31798</v>
      </c>
      <c r="CN66" s="146"/>
      <c r="CO66" s="150">
        <v>14.68718592964824</v>
      </c>
      <c r="CP66" s="150">
        <v>51.76746281142416</v>
      </c>
      <c r="CQ66" s="151">
        <v>-2109.1892571859867</v>
      </c>
      <c r="CR66" s="152"/>
      <c r="CS66" s="152"/>
      <c r="CT66" s="152"/>
      <c r="CU66" s="150">
        <v>50.73558143665474</v>
      </c>
      <c r="CV66" s="151">
        <v>687.7162085665766</v>
      </c>
      <c r="CW66" s="151">
        <v>43.05328112020885</v>
      </c>
      <c r="CX66" s="154">
        <v>5830.366689728914</v>
      </c>
      <c r="CY66" s="146">
        <v>72346</v>
      </c>
      <c r="CZ66" s="139">
        <v>30795</v>
      </c>
      <c r="DA66" s="139">
        <v>177850</v>
      </c>
      <c r="DB66" s="139">
        <v>-147055</v>
      </c>
      <c r="DC66" s="146">
        <v>128457</v>
      </c>
      <c r="DD66" s="146">
        <v>29364</v>
      </c>
      <c r="DE66" s="160"/>
      <c r="DG66" s="138">
        <v>501</v>
      </c>
      <c r="DH66" s="138">
        <v>85</v>
      </c>
      <c r="DI66" s="139">
        <v>11352</v>
      </c>
      <c r="DJ66" s="138">
        <v>7494</v>
      </c>
      <c r="DM66" s="139">
        <v>3858</v>
      </c>
      <c r="DN66" s="138">
        <v>17</v>
      </c>
      <c r="DO66" s="139"/>
      <c r="DQ66" s="138">
        <v>3875</v>
      </c>
      <c r="DR66" s="139">
        <v>23610</v>
      </c>
      <c r="DS66" s="139">
        <v>9916</v>
      </c>
      <c r="DT66" s="176"/>
      <c r="DU66" s="139">
        <v>869</v>
      </c>
      <c r="DV66" s="151">
        <v>-457</v>
      </c>
      <c r="DW66" s="138">
        <v>2937</v>
      </c>
      <c r="DX66" s="138">
        <v>128457</v>
      </c>
      <c r="DY66" s="146">
        <v>117808</v>
      </c>
      <c r="DZ66" s="196">
        <v>4930</v>
      </c>
      <c r="EA66" s="146">
        <v>5719</v>
      </c>
      <c r="EB66" s="114">
        <v>19</v>
      </c>
      <c r="EC66" s="152"/>
      <c r="ED66" s="138">
        <v>108</v>
      </c>
      <c r="EE66" s="138">
        <v>70442</v>
      </c>
      <c r="EF66" s="138">
        <v>76397</v>
      </c>
      <c r="EG66" s="138">
        <v>80592</v>
      </c>
      <c r="EH66" s="138"/>
      <c r="EI66" s="138"/>
      <c r="EJ66" s="138"/>
      <c r="EK66" s="3">
        <v>-18408</v>
      </c>
      <c r="EL66" s="138">
        <v>1379</v>
      </c>
      <c r="EM66" s="138">
        <v>2627</v>
      </c>
      <c r="EN66" s="3">
        <v>-16066</v>
      </c>
      <c r="EO66" s="138"/>
      <c r="EP66" s="138">
        <v>2536</v>
      </c>
      <c r="EQ66" s="3">
        <v>-8856</v>
      </c>
      <c r="ES66" s="138">
        <v>1877</v>
      </c>
      <c r="ET66" s="163"/>
      <c r="EU66" s="163">
        <v>-10155</v>
      </c>
      <c r="EV66" s="138"/>
      <c r="EW66" s="138">
        <v>-4</v>
      </c>
      <c r="EX66" s="138"/>
      <c r="EY66" s="138">
        <v>10000</v>
      </c>
      <c r="EZ66" s="138">
        <v>52994</v>
      </c>
      <c r="FA66" s="138">
        <v>2533</v>
      </c>
      <c r="FB66" s="138">
        <v>50461</v>
      </c>
      <c r="FC66" s="138">
        <v>765</v>
      </c>
      <c r="FD66" s="138">
        <v>52533</v>
      </c>
      <c r="FE66" s="138">
        <v>2076</v>
      </c>
      <c r="FF66" s="138">
        <v>50457</v>
      </c>
      <c r="FG66" s="138">
        <v>2385</v>
      </c>
      <c r="FH66" s="138">
        <v>62077</v>
      </c>
      <c r="FI66" s="138">
        <v>1620</v>
      </c>
      <c r="FJ66" s="138">
        <v>60457</v>
      </c>
      <c r="FK66" s="138">
        <v>2385</v>
      </c>
      <c r="FL66" s="147">
        <v>2957</v>
      </c>
      <c r="FM66" s="147">
        <v>2978.414054777923</v>
      </c>
      <c r="FO66" s="181">
        <f aca="true" t="shared" si="3" ref="FO66:FO124">(DY66/EB66)</f>
        <v>6200.421052631579</v>
      </c>
      <c r="FP66" s="179">
        <f t="shared" si="1"/>
        <v>194.99405788513675</v>
      </c>
      <c r="FR66" s="184"/>
      <c r="FV66" s="184">
        <v>460</v>
      </c>
      <c r="FW66" s="2">
        <f aca="true" t="shared" si="4" ref="FW66:FW124">FV66*-1</f>
        <v>-460</v>
      </c>
    </row>
    <row r="67" spans="1:179" ht="12.75">
      <c r="A67" s="82">
        <v>204</v>
      </c>
      <c r="B67" s="80" t="s">
        <v>65</v>
      </c>
      <c r="C67" s="191">
        <v>3385</v>
      </c>
      <c r="D67" s="146"/>
      <c r="E67" s="150">
        <v>1.1286449399656946</v>
      </c>
      <c r="F67" s="150">
        <v>28.9</v>
      </c>
      <c r="G67" s="151">
        <v>-1273</v>
      </c>
      <c r="H67" s="152"/>
      <c r="I67" s="152"/>
      <c r="J67" s="152"/>
      <c r="K67" s="150">
        <v>58.6</v>
      </c>
      <c r="L67" s="151">
        <v>348</v>
      </c>
      <c r="M67" s="151">
        <v>19</v>
      </c>
      <c r="N67" s="154">
        <v>6828.951255539144</v>
      </c>
      <c r="O67" s="146">
        <v>6985</v>
      </c>
      <c r="P67" s="139">
        <v>2978</v>
      </c>
      <c r="Q67" s="139">
        <v>21891</v>
      </c>
      <c r="R67" s="139">
        <v>-18913</v>
      </c>
      <c r="S67" s="146">
        <v>8052</v>
      </c>
      <c r="T67" s="139">
        <v>11336</v>
      </c>
      <c r="U67" s="160"/>
      <c r="W67" s="138">
        <v>-99</v>
      </c>
      <c r="X67" s="138">
        <v>178</v>
      </c>
      <c r="Y67" s="139">
        <v>554</v>
      </c>
      <c r="Z67" s="138">
        <v>694</v>
      </c>
      <c r="AA67" s="138">
        <v>50</v>
      </c>
      <c r="AB67" s="139"/>
      <c r="AC67" s="139">
        <v>-90</v>
      </c>
      <c r="AD67" s="139">
        <v>45</v>
      </c>
      <c r="AG67" s="139">
        <v>-45</v>
      </c>
      <c r="AH67" s="139">
        <v>-149</v>
      </c>
      <c r="AI67" s="139">
        <v>591</v>
      </c>
      <c r="AJ67" s="176"/>
      <c r="AK67" s="139">
        <v>164</v>
      </c>
      <c r="AL67" s="151">
        <v>-479</v>
      </c>
      <c r="AM67" s="151">
        <v>19</v>
      </c>
      <c r="AN67" s="146">
        <v>8052</v>
      </c>
      <c r="AO67" s="139">
        <v>6402</v>
      </c>
      <c r="AP67" s="139">
        <v>953</v>
      </c>
      <c r="AQ67" s="139">
        <v>697</v>
      </c>
      <c r="AR67" s="114">
        <v>20</v>
      </c>
      <c r="AS67" s="152"/>
      <c r="AT67" s="138">
        <v>223</v>
      </c>
      <c r="AU67" s="191">
        <v>3315</v>
      </c>
      <c r="AV67" s="146"/>
      <c r="AW67" s="150">
        <v>0.35196374622356497</v>
      </c>
      <c r="AX67" s="150">
        <v>27.1</v>
      </c>
      <c r="AY67" s="151">
        <v>-1390</v>
      </c>
      <c r="AZ67" s="152"/>
      <c r="BA67" s="152"/>
      <c r="BB67" s="152"/>
      <c r="BC67" s="150">
        <v>57.1</v>
      </c>
      <c r="BD67" s="151">
        <v>237</v>
      </c>
      <c r="BE67" s="151">
        <v>12</v>
      </c>
      <c r="BF67" s="154">
        <v>7502.5641025641025</v>
      </c>
      <c r="BG67" s="146">
        <v>7507</v>
      </c>
      <c r="BH67" s="139">
        <v>3536</v>
      </c>
      <c r="BI67" s="139">
        <v>23662</v>
      </c>
      <c r="BJ67" s="139">
        <v>-20126</v>
      </c>
      <c r="BK67" s="146">
        <v>8181</v>
      </c>
      <c r="BL67" s="146">
        <v>11972</v>
      </c>
      <c r="BM67" s="160"/>
      <c r="BO67" s="138">
        <v>-108</v>
      </c>
      <c r="BP67" s="138">
        <v>204</v>
      </c>
      <c r="BQ67" s="139">
        <v>123</v>
      </c>
      <c r="BR67" s="138">
        <v>667</v>
      </c>
      <c r="BT67" s="139"/>
      <c r="BU67" s="139">
        <v>-544</v>
      </c>
      <c r="BV67" s="139">
        <v>45</v>
      </c>
      <c r="BY67" s="138">
        <v>-499</v>
      </c>
      <c r="BZ67" s="139">
        <v>-648</v>
      </c>
      <c r="CA67" s="139">
        <v>88</v>
      </c>
      <c r="CB67" s="176"/>
      <c r="CC67" s="139">
        <v>-69</v>
      </c>
      <c r="CD67" s="151">
        <v>-552</v>
      </c>
      <c r="CE67" s="151">
        <v>-291</v>
      </c>
      <c r="CF67" s="138">
        <v>8181</v>
      </c>
      <c r="CG67" s="139">
        <v>6836</v>
      </c>
      <c r="CH67" s="139">
        <v>551</v>
      </c>
      <c r="CI67" s="139">
        <v>794</v>
      </c>
      <c r="CJ67" s="114">
        <v>20.25</v>
      </c>
      <c r="CK67" s="152"/>
      <c r="CL67" s="138">
        <v>227</v>
      </c>
      <c r="CM67" s="190">
        <v>3261</v>
      </c>
      <c r="CN67" s="146"/>
      <c r="CO67" s="150">
        <v>1.4484451718494271</v>
      </c>
      <c r="CP67" s="150">
        <v>24.785836664762993</v>
      </c>
      <c r="CQ67" s="151">
        <v>-1288.2551364612082</v>
      </c>
      <c r="CR67" s="152"/>
      <c r="CS67" s="152"/>
      <c r="CT67" s="152"/>
      <c r="CU67" s="150">
        <v>59.015847649487284</v>
      </c>
      <c r="CV67" s="151">
        <v>249.0033731984054</v>
      </c>
      <c r="CW67" s="151">
        <v>11.819269420960282</v>
      </c>
      <c r="CX67" s="154">
        <v>7689.665746703465</v>
      </c>
      <c r="CY67" s="146">
        <v>7432</v>
      </c>
      <c r="CZ67" s="139">
        <v>3365</v>
      </c>
      <c r="DA67" s="139">
        <v>23833</v>
      </c>
      <c r="DB67" s="139">
        <v>-20468</v>
      </c>
      <c r="DC67" s="146">
        <v>8498</v>
      </c>
      <c r="DD67" s="146">
        <v>12651</v>
      </c>
      <c r="DE67" s="160"/>
      <c r="DG67" s="138">
        <v>-82</v>
      </c>
      <c r="DH67" s="138">
        <v>203</v>
      </c>
      <c r="DI67" s="139">
        <v>802</v>
      </c>
      <c r="DJ67" s="138">
        <v>688</v>
      </c>
      <c r="DK67" s="138">
        <v>70</v>
      </c>
      <c r="DL67" s="139"/>
      <c r="DM67" s="139">
        <v>184</v>
      </c>
      <c r="DN67" s="139">
        <v>45</v>
      </c>
      <c r="DQ67" s="138">
        <v>229</v>
      </c>
      <c r="DR67" s="139">
        <v>-419</v>
      </c>
      <c r="DS67" s="139">
        <v>812</v>
      </c>
      <c r="DT67" s="176"/>
      <c r="DU67" s="139">
        <v>-23</v>
      </c>
      <c r="DV67" s="151">
        <v>-528</v>
      </c>
      <c r="DW67" s="138">
        <v>409</v>
      </c>
      <c r="DX67" s="138">
        <v>8498</v>
      </c>
      <c r="DY67" s="146">
        <v>6993</v>
      </c>
      <c r="DZ67" s="196">
        <v>698</v>
      </c>
      <c r="EA67" s="146">
        <v>807</v>
      </c>
      <c r="EB67" s="114">
        <v>20.5</v>
      </c>
      <c r="EC67" s="152"/>
      <c r="ED67" s="138">
        <v>173</v>
      </c>
      <c r="EE67" s="138">
        <v>12291</v>
      </c>
      <c r="EF67" s="138">
        <v>13179</v>
      </c>
      <c r="EG67" s="138">
        <v>13543</v>
      </c>
      <c r="EH67" s="138"/>
      <c r="EI67" s="138"/>
      <c r="EJ67" s="138"/>
      <c r="EK67" s="3">
        <v>-621</v>
      </c>
      <c r="EL67" s="138">
        <v>27</v>
      </c>
      <c r="EM67" s="138">
        <v>22</v>
      </c>
      <c r="EN67" s="3">
        <v>-500</v>
      </c>
      <c r="EO67" s="138">
        <v>44</v>
      </c>
      <c r="EP67" s="138">
        <v>77</v>
      </c>
      <c r="EQ67" s="3">
        <v>-623</v>
      </c>
      <c r="ER67" s="138">
        <v>13</v>
      </c>
      <c r="ES67" s="138">
        <v>207</v>
      </c>
      <c r="ET67" s="163">
        <v>500</v>
      </c>
      <c r="EU67" s="163"/>
      <c r="EV67" s="138">
        <v>500</v>
      </c>
      <c r="EW67" s="138"/>
      <c r="EX67" s="138"/>
      <c r="EY67" s="138"/>
      <c r="EZ67" s="138">
        <v>4412</v>
      </c>
      <c r="FA67" s="138">
        <v>3859</v>
      </c>
      <c r="FB67" s="138">
        <v>553</v>
      </c>
      <c r="FC67" s="138">
        <v>441</v>
      </c>
      <c r="FD67" s="138">
        <v>4359</v>
      </c>
      <c r="FE67" s="138">
        <v>3831</v>
      </c>
      <c r="FF67" s="138">
        <v>528</v>
      </c>
      <c r="FG67" s="138">
        <v>441</v>
      </c>
      <c r="FH67" s="138">
        <v>3832</v>
      </c>
      <c r="FI67" s="138">
        <v>3267</v>
      </c>
      <c r="FJ67" s="138">
        <v>565</v>
      </c>
      <c r="FK67" s="138">
        <v>441</v>
      </c>
      <c r="FL67" s="147">
        <v>2791</v>
      </c>
      <c r="FM67" s="147">
        <v>3000.9049773755655</v>
      </c>
      <c r="FO67" s="181">
        <f t="shared" si="3"/>
        <v>341.1219512195122</v>
      </c>
      <c r="FP67" s="179">
        <f aca="true" t="shared" si="5" ref="FP67:FP130">(FO67/CM67)*1000</f>
        <v>104.60654744541925</v>
      </c>
      <c r="FR67" s="184"/>
      <c r="FV67" s="184">
        <v>479</v>
      </c>
      <c r="FW67" s="2">
        <f t="shared" si="4"/>
        <v>-479</v>
      </c>
    </row>
    <row r="68" spans="1:179" ht="12.75">
      <c r="A68" s="82">
        <v>205</v>
      </c>
      <c r="B68" s="80" t="s">
        <v>66</v>
      </c>
      <c r="C68" s="191">
        <v>38045</v>
      </c>
      <c r="D68" s="146"/>
      <c r="E68" s="150">
        <v>0.9087346024636058</v>
      </c>
      <c r="F68" s="150">
        <v>38.3</v>
      </c>
      <c r="G68" s="151">
        <v>-1909</v>
      </c>
      <c r="H68" s="152"/>
      <c r="I68" s="152"/>
      <c r="J68" s="152"/>
      <c r="K68" s="150">
        <v>60.4</v>
      </c>
      <c r="L68" s="151">
        <v>226</v>
      </c>
      <c r="M68" s="151">
        <v>12</v>
      </c>
      <c r="N68" s="154">
        <v>7033.7232224996715</v>
      </c>
      <c r="O68" s="146">
        <v>76546</v>
      </c>
      <c r="P68" s="139">
        <v>41335</v>
      </c>
      <c r="Q68" s="139">
        <v>228980</v>
      </c>
      <c r="R68" s="139">
        <v>-187645</v>
      </c>
      <c r="S68" s="146">
        <v>121831</v>
      </c>
      <c r="T68" s="139">
        <v>71049</v>
      </c>
      <c r="U68" s="160"/>
      <c r="W68" s="138">
        <v>-1129</v>
      </c>
      <c r="X68" s="138">
        <v>4378</v>
      </c>
      <c r="Y68" s="139">
        <v>8484</v>
      </c>
      <c r="Z68" s="138">
        <v>11242</v>
      </c>
      <c r="AA68" s="139"/>
      <c r="AB68" s="139"/>
      <c r="AC68" s="139">
        <v>-2758</v>
      </c>
      <c r="AD68" s="139">
        <v>144</v>
      </c>
      <c r="AF68" s="139">
        <v>179</v>
      </c>
      <c r="AG68" s="139">
        <v>-2435</v>
      </c>
      <c r="AH68" s="139">
        <v>-15722</v>
      </c>
      <c r="AI68" s="139">
        <v>11585</v>
      </c>
      <c r="AJ68" s="176"/>
      <c r="AK68" s="139">
        <v>2546</v>
      </c>
      <c r="AL68" s="151">
        <v>-9462</v>
      </c>
      <c r="AM68" s="151">
        <v>-8133</v>
      </c>
      <c r="AN68" s="146">
        <v>121831</v>
      </c>
      <c r="AO68" s="139">
        <v>107426</v>
      </c>
      <c r="AP68" s="139">
        <v>5894</v>
      </c>
      <c r="AQ68" s="139">
        <v>8511</v>
      </c>
      <c r="AR68" s="114">
        <v>20</v>
      </c>
      <c r="AS68" s="152"/>
      <c r="AT68" s="138">
        <v>185</v>
      </c>
      <c r="AU68" s="191">
        <v>37973</v>
      </c>
      <c r="AV68" s="146"/>
      <c r="AW68" s="150">
        <v>0.7214444189426976</v>
      </c>
      <c r="AX68" s="150">
        <v>43.4</v>
      </c>
      <c r="AY68" s="151">
        <v>-2279</v>
      </c>
      <c r="AZ68" s="152"/>
      <c r="BA68" s="152"/>
      <c r="BB68" s="152"/>
      <c r="BC68" s="150">
        <v>57</v>
      </c>
      <c r="BD68" s="151">
        <v>201</v>
      </c>
      <c r="BE68" s="151">
        <v>10</v>
      </c>
      <c r="BF68" s="154">
        <v>7219.972085429121</v>
      </c>
      <c r="BG68" s="146">
        <v>79955</v>
      </c>
      <c r="BH68" s="139">
        <v>43342</v>
      </c>
      <c r="BI68" s="139">
        <v>237707</v>
      </c>
      <c r="BJ68" s="139">
        <v>-194365</v>
      </c>
      <c r="BK68" s="146">
        <v>122620</v>
      </c>
      <c r="BL68" s="146">
        <v>75072</v>
      </c>
      <c r="BM68" s="160"/>
      <c r="BO68" s="138">
        <v>-1206</v>
      </c>
      <c r="BP68" s="138">
        <v>6034</v>
      </c>
      <c r="BQ68" s="139">
        <v>8155</v>
      </c>
      <c r="BR68" s="138">
        <v>11919</v>
      </c>
      <c r="BS68" s="139"/>
      <c r="BT68" s="139"/>
      <c r="BU68" s="139">
        <v>-3764</v>
      </c>
      <c r="BV68" s="139">
        <v>191</v>
      </c>
      <c r="BX68" s="139">
        <v>3857</v>
      </c>
      <c r="BY68" s="138">
        <v>284</v>
      </c>
      <c r="BZ68" s="139">
        <v>-15439</v>
      </c>
      <c r="CA68" s="139">
        <v>4378</v>
      </c>
      <c r="CB68" s="176"/>
      <c r="CC68" s="139">
        <v>-2047</v>
      </c>
      <c r="CD68" s="151">
        <v>-11796</v>
      </c>
      <c r="CE68" s="151">
        <v>-14371</v>
      </c>
      <c r="CF68" s="138">
        <v>122620</v>
      </c>
      <c r="CG68" s="139">
        <v>109631</v>
      </c>
      <c r="CH68" s="139">
        <v>4329</v>
      </c>
      <c r="CI68" s="139">
        <v>8660</v>
      </c>
      <c r="CJ68" s="114">
        <v>20</v>
      </c>
      <c r="CK68" s="152"/>
      <c r="CL68" s="138">
        <v>105</v>
      </c>
      <c r="CM68" s="190">
        <v>37868</v>
      </c>
      <c r="CN68" s="146"/>
      <c r="CO68" s="150">
        <v>1.8363273453093811</v>
      </c>
      <c r="CP68" s="150">
        <v>35.24783424727987</v>
      </c>
      <c r="CQ68" s="151">
        <v>-2315.385021654167</v>
      </c>
      <c r="CR68" s="152"/>
      <c r="CS68" s="152"/>
      <c r="CT68" s="152"/>
      <c r="CU68" s="150">
        <v>68.56852737779462</v>
      </c>
      <c r="CV68" s="151">
        <v>160.34646667370868</v>
      </c>
      <c r="CW68" s="151">
        <v>5.507120333764869</v>
      </c>
      <c r="CX68" s="154">
        <v>10627.416288158867</v>
      </c>
      <c r="CY68" s="146">
        <v>103960</v>
      </c>
      <c r="CZ68" s="139">
        <v>51588</v>
      </c>
      <c r="DA68" s="139">
        <v>281015</v>
      </c>
      <c r="DB68" s="139">
        <v>-229427</v>
      </c>
      <c r="DC68" s="146">
        <v>135261</v>
      </c>
      <c r="DD68" s="146">
        <v>113163</v>
      </c>
      <c r="DE68" s="160"/>
      <c r="DG68" s="138">
        <v>-40</v>
      </c>
      <c r="DH68" s="138">
        <v>4616</v>
      </c>
      <c r="DI68" s="139">
        <v>23573</v>
      </c>
      <c r="DJ68" s="138">
        <v>13278</v>
      </c>
      <c r="DK68" s="139">
        <v>79366</v>
      </c>
      <c r="DL68" s="139"/>
      <c r="DM68" s="139">
        <v>89661</v>
      </c>
      <c r="DN68" s="139">
        <v>-1173</v>
      </c>
      <c r="DO68" s="138">
        <v>589</v>
      </c>
      <c r="DP68" s="139">
        <v>1252</v>
      </c>
      <c r="DQ68" s="138">
        <v>90329</v>
      </c>
      <c r="DR68" s="139">
        <v>77280</v>
      </c>
      <c r="DS68" s="139">
        <v>25344</v>
      </c>
      <c r="DT68" s="176"/>
      <c r="DU68" s="139">
        <v>816</v>
      </c>
      <c r="DV68" s="151">
        <v>-12260</v>
      </c>
      <c r="DW68" s="138">
        <v>61777</v>
      </c>
      <c r="DX68" s="138">
        <v>135261</v>
      </c>
      <c r="DY68" s="146">
        <v>121014</v>
      </c>
      <c r="DZ68" s="196">
        <v>5201</v>
      </c>
      <c r="EA68" s="146">
        <v>9046</v>
      </c>
      <c r="EB68" s="114">
        <v>21</v>
      </c>
      <c r="EC68" s="152"/>
      <c r="ED68" s="138">
        <v>28</v>
      </c>
      <c r="EE68" s="138">
        <v>126181</v>
      </c>
      <c r="EF68" s="138">
        <v>130689</v>
      </c>
      <c r="EG68" s="138">
        <v>142653</v>
      </c>
      <c r="EH68" s="138"/>
      <c r="EI68" s="138"/>
      <c r="EJ68" s="138"/>
      <c r="EK68" s="3">
        <v>-27317</v>
      </c>
      <c r="EL68" s="138">
        <v>6192</v>
      </c>
      <c r="EM68" s="138">
        <v>1407</v>
      </c>
      <c r="EN68" s="3">
        <v>-23283</v>
      </c>
      <c r="EO68" s="138">
        <v>3663</v>
      </c>
      <c r="EP68" s="138">
        <v>871</v>
      </c>
      <c r="EQ68" s="3">
        <v>-46064</v>
      </c>
      <c r="ER68" s="138">
        <v>2511</v>
      </c>
      <c r="ES68" s="138">
        <v>79986</v>
      </c>
      <c r="ET68" s="163">
        <v>12100</v>
      </c>
      <c r="EU68" s="163">
        <v>515</v>
      </c>
      <c r="EV68" s="138">
        <v>25550</v>
      </c>
      <c r="EW68" s="138">
        <v>-3005</v>
      </c>
      <c r="EX68" s="138">
        <v>19445</v>
      </c>
      <c r="EY68" s="138">
        <v>-7071</v>
      </c>
      <c r="EZ68" s="138">
        <v>71523</v>
      </c>
      <c r="FA68" s="138">
        <v>50650</v>
      </c>
      <c r="FB68" s="138">
        <v>20873</v>
      </c>
      <c r="FC68" s="138">
        <v>7758</v>
      </c>
      <c r="FD68" s="138">
        <v>82271</v>
      </c>
      <c r="FE68" s="138">
        <v>62940</v>
      </c>
      <c r="FF68" s="138">
        <v>19331</v>
      </c>
      <c r="FG68" s="138">
        <v>7596</v>
      </c>
      <c r="FH68" s="138">
        <v>82384</v>
      </c>
      <c r="FI68" s="138">
        <v>69806</v>
      </c>
      <c r="FJ68" s="138">
        <v>12578</v>
      </c>
      <c r="FK68" s="138">
        <v>69551</v>
      </c>
      <c r="FL68" s="147">
        <v>4311</v>
      </c>
      <c r="FM68" s="147">
        <v>4749.26921760198</v>
      </c>
      <c r="FO68" s="181">
        <f t="shared" si="3"/>
        <v>5762.571428571428</v>
      </c>
      <c r="FP68" s="179">
        <f t="shared" si="5"/>
        <v>152.17522521842793</v>
      </c>
      <c r="FR68" s="184"/>
      <c r="FV68" s="184">
        <v>9462</v>
      </c>
      <c r="FW68" s="2">
        <f t="shared" si="4"/>
        <v>-9462</v>
      </c>
    </row>
    <row r="69" spans="1:179" ht="12.75">
      <c r="A69" s="82">
        <v>208</v>
      </c>
      <c r="B69" s="80" t="s">
        <v>67</v>
      </c>
      <c r="C69" s="191">
        <v>12616</v>
      </c>
      <c r="D69" s="146"/>
      <c r="E69" s="150">
        <v>1.9584251101321586</v>
      </c>
      <c r="F69" s="150">
        <v>51</v>
      </c>
      <c r="G69" s="151">
        <v>-1570</v>
      </c>
      <c r="H69" s="152"/>
      <c r="I69" s="152"/>
      <c r="J69" s="152"/>
      <c r="K69" s="150">
        <v>58.9</v>
      </c>
      <c r="L69" s="151">
        <v>1124</v>
      </c>
      <c r="M69" s="151">
        <v>59</v>
      </c>
      <c r="N69" s="154">
        <v>7012.8408370323405</v>
      </c>
      <c r="O69" s="146">
        <v>40013</v>
      </c>
      <c r="P69" s="139">
        <v>22613</v>
      </c>
      <c r="Q69" s="139">
        <v>77308</v>
      </c>
      <c r="R69" s="139">
        <v>-54695</v>
      </c>
      <c r="S69" s="146">
        <v>33396</v>
      </c>
      <c r="T69" s="139">
        <v>27787</v>
      </c>
      <c r="U69" s="160"/>
      <c r="W69" s="138">
        <v>-393</v>
      </c>
      <c r="X69" s="138">
        <v>439</v>
      </c>
      <c r="Y69" s="139">
        <v>6534</v>
      </c>
      <c r="Z69" s="138">
        <v>4167</v>
      </c>
      <c r="AC69" s="139">
        <v>2367</v>
      </c>
      <c r="AD69" s="139">
        <v>73</v>
      </c>
      <c r="AG69" s="139">
        <v>2440</v>
      </c>
      <c r="AH69" s="139">
        <v>10660</v>
      </c>
      <c r="AI69" s="139">
        <v>6049</v>
      </c>
      <c r="AJ69" s="176"/>
      <c r="AK69" s="139">
        <v>538</v>
      </c>
      <c r="AL69" s="151">
        <v>-3053</v>
      </c>
      <c r="AM69" s="151">
        <v>859</v>
      </c>
      <c r="AN69" s="146">
        <v>33396</v>
      </c>
      <c r="AO69" s="139">
        <v>29024</v>
      </c>
      <c r="AP69" s="139">
        <v>2631</v>
      </c>
      <c r="AQ69" s="139">
        <v>1741</v>
      </c>
      <c r="AR69" s="114">
        <v>19</v>
      </c>
      <c r="AS69" s="152"/>
      <c r="AT69" s="138">
        <v>34</v>
      </c>
      <c r="AU69" s="191">
        <v>12625</v>
      </c>
      <c r="AV69" s="146"/>
      <c r="AW69" s="150">
        <v>1.23878568192116</v>
      </c>
      <c r="AX69" s="150">
        <v>54.9</v>
      </c>
      <c r="AY69" s="151">
        <v>-1834</v>
      </c>
      <c r="AZ69" s="152"/>
      <c r="BA69" s="152"/>
      <c r="BB69" s="152"/>
      <c r="BC69" s="150">
        <v>56.6</v>
      </c>
      <c r="BD69" s="151">
        <v>1062</v>
      </c>
      <c r="BE69" s="151">
        <v>51</v>
      </c>
      <c r="BF69" s="154">
        <v>7607.762376237623</v>
      </c>
      <c r="BG69" s="146">
        <v>42969</v>
      </c>
      <c r="BH69" s="139">
        <v>23955</v>
      </c>
      <c r="BI69" s="139">
        <v>81305</v>
      </c>
      <c r="BJ69" s="139">
        <v>-57350</v>
      </c>
      <c r="BK69" s="146">
        <v>34375</v>
      </c>
      <c r="BL69" s="146">
        <v>27943</v>
      </c>
      <c r="BM69" s="160"/>
      <c r="BO69" s="138">
        <v>-325</v>
      </c>
      <c r="BP69" s="138">
        <v>296</v>
      </c>
      <c r="BQ69" s="139">
        <v>4939</v>
      </c>
      <c r="BR69" s="138">
        <v>4289</v>
      </c>
      <c r="BU69" s="139">
        <v>650</v>
      </c>
      <c r="BV69" s="139">
        <v>73</v>
      </c>
      <c r="BY69" s="138">
        <v>723</v>
      </c>
      <c r="BZ69" s="139">
        <v>11382</v>
      </c>
      <c r="CA69" s="139">
        <v>4375</v>
      </c>
      <c r="CB69" s="176"/>
      <c r="CC69" s="139">
        <v>-2062</v>
      </c>
      <c r="CD69" s="151">
        <v>-3885</v>
      </c>
      <c r="CE69" s="151">
        <v>-3482</v>
      </c>
      <c r="CF69" s="138">
        <v>34375</v>
      </c>
      <c r="CG69" s="139">
        <v>30872</v>
      </c>
      <c r="CH69" s="139">
        <v>1683</v>
      </c>
      <c r="CI69" s="139">
        <v>1820</v>
      </c>
      <c r="CJ69" s="114">
        <v>19.5</v>
      </c>
      <c r="CK69" s="152"/>
      <c r="CL69" s="138">
        <v>41</v>
      </c>
      <c r="CM69" s="190">
        <v>12644</v>
      </c>
      <c r="CN69" s="146"/>
      <c r="CO69" s="150">
        <v>1.0455625990491284</v>
      </c>
      <c r="CP69" s="150">
        <v>56.61817233441813</v>
      </c>
      <c r="CQ69" s="151">
        <v>-2056.232204998418</v>
      </c>
      <c r="CR69" s="152"/>
      <c r="CS69" s="152"/>
      <c r="CT69" s="152"/>
      <c r="CU69" s="150">
        <v>55.45307285811654</v>
      </c>
      <c r="CV69" s="151">
        <v>1195.6659285036383</v>
      </c>
      <c r="CW69" s="151">
        <v>56.67697206244864</v>
      </c>
      <c r="CX69" s="154">
        <v>7700.094906675103</v>
      </c>
      <c r="CY69" s="146">
        <v>44322</v>
      </c>
      <c r="CZ69" s="139">
        <v>24143</v>
      </c>
      <c r="DA69" s="139">
        <v>83824</v>
      </c>
      <c r="DB69" s="139">
        <v>-59681</v>
      </c>
      <c r="DC69" s="146">
        <v>35447</v>
      </c>
      <c r="DD69" s="146">
        <v>28891</v>
      </c>
      <c r="DE69" s="160"/>
      <c r="DG69" s="138">
        <v>-173</v>
      </c>
      <c r="DH69" s="138">
        <v>465</v>
      </c>
      <c r="DI69" s="139">
        <v>4949</v>
      </c>
      <c r="DJ69" s="138">
        <v>4482</v>
      </c>
      <c r="DM69" s="139">
        <v>467</v>
      </c>
      <c r="DN69" s="139">
        <v>73</v>
      </c>
      <c r="DQ69" s="138">
        <v>540</v>
      </c>
      <c r="DR69" s="139">
        <v>11922</v>
      </c>
      <c r="DS69" s="139">
        <v>4034</v>
      </c>
      <c r="DT69" s="176"/>
      <c r="DU69" s="139">
        <v>1816</v>
      </c>
      <c r="DV69" s="151">
        <v>-4719</v>
      </c>
      <c r="DW69" s="138">
        <v>-2910</v>
      </c>
      <c r="DX69" s="138">
        <v>35447</v>
      </c>
      <c r="DY69" s="146">
        <v>31542</v>
      </c>
      <c r="DZ69" s="196">
        <v>1943</v>
      </c>
      <c r="EA69" s="146">
        <v>1962</v>
      </c>
      <c r="EB69" s="114">
        <v>19.5</v>
      </c>
      <c r="EC69" s="152"/>
      <c r="ED69" s="138">
        <v>91</v>
      </c>
      <c r="EE69" s="138">
        <v>28163</v>
      </c>
      <c r="EF69" s="138">
        <v>29009</v>
      </c>
      <c r="EG69" s="138">
        <v>29985</v>
      </c>
      <c r="EH69" s="138"/>
      <c r="EI69" s="138"/>
      <c r="EJ69" s="138"/>
      <c r="EK69" s="3">
        <v>-7051</v>
      </c>
      <c r="EL69" s="138">
        <v>881</v>
      </c>
      <c r="EM69" s="138">
        <v>979</v>
      </c>
      <c r="EN69" s="3">
        <v>-10553</v>
      </c>
      <c r="EO69" s="138">
        <v>619</v>
      </c>
      <c r="EP69" s="138">
        <v>2079</v>
      </c>
      <c r="EQ69" s="3">
        <v>-8658</v>
      </c>
      <c r="ER69" s="138">
        <v>500</v>
      </c>
      <c r="ES69" s="138">
        <v>1214</v>
      </c>
      <c r="ET69" s="163"/>
      <c r="EU69" s="163">
        <v>1600</v>
      </c>
      <c r="EV69" s="138">
        <v>5000</v>
      </c>
      <c r="EW69" s="138">
        <v>2600</v>
      </c>
      <c r="EX69" s="138"/>
      <c r="EY69" s="138">
        <v>7000</v>
      </c>
      <c r="EZ69" s="138">
        <v>30442</v>
      </c>
      <c r="FA69" s="138">
        <v>13490</v>
      </c>
      <c r="FB69" s="138">
        <v>16952</v>
      </c>
      <c r="FC69" s="138">
        <v>1664</v>
      </c>
      <c r="FD69" s="138">
        <v>34157</v>
      </c>
      <c r="FE69" s="138">
        <v>12938</v>
      </c>
      <c r="FF69" s="138">
        <v>21219</v>
      </c>
      <c r="FG69" s="138">
        <v>1474</v>
      </c>
      <c r="FH69" s="138">
        <v>36438</v>
      </c>
      <c r="FI69" s="138">
        <v>8219</v>
      </c>
      <c r="FJ69" s="138">
        <v>28219</v>
      </c>
      <c r="FK69" s="138">
        <v>1471</v>
      </c>
      <c r="FL69" s="147">
        <v>3719</v>
      </c>
      <c r="FM69" s="147">
        <v>4081.8217821782177</v>
      </c>
      <c r="FO69" s="181">
        <f t="shared" si="3"/>
        <v>1617.5384615384614</v>
      </c>
      <c r="FP69" s="179">
        <f t="shared" si="5"/>
        <v>127.92933102961574</v>
      </c>
      <c r="FR69" s="184"/>
      <c r="FV69" s="184">
        <v>3053</v>
      </c>
      <c r="FW69" s="2">
        <f t="shared" si="4"/>
        <v>-3053</v>
      </c>
    </row>
    <row r="70" spans="1:179" ht="12.75">
      <c r="A70" s="82">
        <v>211</v>
      </c>
      <c r="B70" s="80" t="s">
        <v>68</v>
      </c>
      <c r="C70" s="191">
        <v>29891</v>
      </c>
      <c r="D70" s="146"/>
      <c r="E70" s="150">
        <v>1.9315983417779825</v>
      </c>
      <c r="F70" s="150">
        <v>43.6</v>
      </c>
      <c r="G70" s="151">
        <v>-952</v>
      </c>
      <c r="H70" s="152"/>
      <c r="I70" s="152"/>
      <c r="J70" s="152"/>
      <c r="K70" s="150">
        <v>56.6</v>
      </c>
      <c r="L70" s="151">
        <v>1320</v>
      </c>
      <c r="M70" s="151">
        <v>68</v>
      </c>
      <c r="N70" s="154">
        <v>7096.082432839316</v>
      </c>
      <c r="O70" s="146">
        <v>84535</v>
      </c>
      <c r="P70" s="139">
        <v>46667</v>
      </c>
      <c r="Q70" s="139">
        <v>164700</v>
      </c>
      <c r="R70" s="139">
        <v>-118033</v>
      </c>
      <c r="S70" s="146">
        <v>103757</v>
      </c>
      <c r="T70" s="139">
        <v>33424</v>
      </c>
      <c r="U70" s="160"/>
      <c r="W70" s="138">
        <v>-1437</v>
      </c>
      <c r="X70" s="138">
        <v>-2480</v>
      </c>
      <c r="Y70" s="139">
        <v>15231</v>
      </c>
      <c r="Z70" s="138">
        <v>9831</v>
      </c>
      <c r="AA70" s="139"/>
      <c r="AC70" s="139">
        <v>5400</v>
      </c>
      <c r="AD70" s="139">
        <v>23</v>
      </c>
      <c r="AF70" s="139">
        <v>17</v>
      </c>
      <c r="AG70" s="139">
        <v>5440</v>
      </c>
      <c r="AH70" s="139">
        <v>40110</v>
      </c>
      <c r="AI70" s="139">
        <v>10239</v>
      </c>
      <c r="AJ70" s="176"/>
      <c r="AK70" s="139">
        <v>1101</v>
      </c>
      <c r="AL70" s="151">
        <v>-7141</v>
      </c>
      <c r="AM70" s="151">
        <v>-1800</v>
      </c>
      <c r="AN70" s="146">
        <v>103757</v>
      </c>
      <c r="AO70" s="139">
        <v>93633</v>
      </c>
      <c r="AP70" s="139">
        <v>4466</v>
      </c>
      <c r="AQ70" s="139">
        <v>5658</v>
      </c>
      <c r="AR70" s="114">
        <v>20</v>
      </c>
      <c r="AS70" s="152"/>
      <c r="AT70" s="138">
        <v>37</v>
      </c>
      <c r="AU70" s="191">
        <v>30126</v>
      </c>
      <c r="AV70" s="146"/>
      <c r="AW70" s="150">
        <v>1.302251895439629</v>
      </c>
      <c r="AX70" s="150">
        <v>45.7</v>
      </c>
      <c r="AY70" s="151">
        <v>-1288</v>
      </c>
      <c r="AZ70" s="152"/>
      <c r="BA70" s="152"/>
      <c r="BB70" s="152"/>
      <c r="BC70" s="150">
        <v>54.5</v>
      </c>
      <c r="BD70" s="151">
        <v>1029</v>
      </c>
      <c r="BE70" s="151">
        <v>50</v>
      </c>
      <c r="BF70" s="154">
        <v>7587.963885016265</v>
      </c>
      <c r="BG70" s="146">
        <v>90135</v>
      </c>
      <c r="BH70" s="139">
        <v>47059</v>
      </c>
      <c r="BI70" s="139">
        <v>178061</v>
      </c>
      <c r="BJ70" s="139">
        <v>-131002</v>
      </c>
      <c r="BK70" s="146">
        <v>107941</v>
      </c>
      <c r="BL70" s="146">
        <v>33844</v>
      </c>
      <c r="BM70" s="160"/>
      <c r="BO70" s="138">
        <v>-1433</v>
      </c>
      <c r="BP70" s="138">
        <v>660</v>
      </c>
      <c r="BQ70" s="139">
        <v>10010</v>
      </c>
      <c r="BR70" s="138">
        <v>11275</v>
      </c>
      <c r="BS70" s="139"/>
      <c r="BU70" s="139">
        <v>-1265</v>
      </c>
      <c r="BV70" s="139">
        <v>9</v>
      </c>
      <c r="BX70" s="139"/>
      <c r="BY70" s="138">
        <v>-1256</v>
      </c>
      <c r="BZ70" s="139">
        <v>38851</v>
      </c>
      <c r="CA70" s="139">
        <v>8625</v>
      </c>
      <c r="CB70" s="176"/>
      <c r="CC70" s="139">
        <v>-4221</v>
      </c>
      <c r="CD70" s="151">
        <v>-7339</v>
      </c>
      <c r="CE70" s="151">
        <v>-10412</v>
      </c>
      <c r="CF70" s="138">
        <v>107941</v>
      </c>
      <c r="CG70" s="139">
        <v>99239</v>
      </c>
      <c r="CH70" s="139">
        <v>2797</v>
      </c>
      <c r="CI70" s="139">
        <v>5905</v>
      </c>
      <c r="CJ70" s="114">
        <v>20</v>
      </c>
      <c r="CK70" s="152"/>
      <c r="CL70" s="138">
        <v>59</v>
      </c>
      <c r="CM70" s="190">
        <v>30345</v>
      </c>
      <c r="CN70" s="146"/>
      <c r="CO70" s="150">
        <v>1.8471290082028338</v>
      </c>
      <c r="CP70" s="150">
        <v>48.01269449820852</v>
      </c>
      <c r="CQ70" s="151">
        <v>-1455.2315043664526</v>
      </c>
      <c r="CR70" s="152"/>
      <c r="CS70" s="152"/>
      <c r="CT70" s="152"/>
      <c r="CU70" s="150">
        <v>53.5031117559467</v>
      </c>
      <c r="CV70" s="151">
        <v>1190.6739166254736</v>
      </c>
      <c r="CW70" s="151">
        <v>58.2163809809695</v>
      </c>
      <c r="CX70" s="154">
        <v>7465.183720547042</v>
      </c>
      <c r="CY70" s="146">
        <v>89903</v>
      </c>
      <c r="CZ70" s="139">
        <v>48287</v>
      </c>
      <c r="DA70" s="139">
        <v>182548</v>
      </c>
      <c r="DB70" s="139">
        <v>-134261</v>
      </c>
      <c r="DC70" s="146">
        <v>114831</v>
      </c>
      <c r="DD70" s="146">
        <v>34846</v>
      </c>
      <c r="DE70" s="160"/>
      <c r="DG70" s="138">
        <v>-1111</v>
      </c>
      <c r="DH70" s="138">
        <v>1899</v>
      </c>
      <c r="DI70" s="139">
        <v>16204</v>
      </c>
      <c r="DJ70" s="138">
        <v>12505</v>
      </c>
      <c r="DK70" s="139">
        <v>2709</v>
      </c>
      <c r="DM70" s="139">
        <v>6408</v>
      </c>
      <c r="DN70" s="139">
        <v>13</v>
      </c>
      <c r="DP70" s="139"/>
      <c r="DQ70" s="138">
        <v>6421</v>
      </c>
      <c r="DR70" s="139">
        <v>45237</v>
      </c>
      <c r="DS70" s="139">
        <v>13388</v>
      </c>
      <c r="DT70" s="176"/>
      <c r="DU70" s="139">
        <v>1616</v>
      </c>
      <c r="DV70" s="151">
        <v>-8253</v>
      </c>
      <c r="DW70" s="138">
        <v>-5416</v>
      </c>
      <c r="DX70" s="138">
        <v>114831</v>
      </c>
      <c r="DY70" s="146">
        <v>105966</v>
      </c>
      <c r="DZ70" s="196">
        <v>2698</v>
      </c>
      <c r="EA70" s="146">
        <v>6167</v>
      </c>
      <c r="EB70" s="114">
        <v>20</v>
      </c>
      <c r="EC70" s="152"/>
      <c r="ED70" s="138">
        <v>48</v>
      </c>
      <c r="EE70" s="138">
        <v>57788</v>
      </c>
      <c r="EF70" s="138">
        <v>64367</v>
      </c>
      <c r="EG70" s="138">
        <v>68014</v>
      </c>
      <c r="EH70" s="138"/>
      <c r="EI70" s="138"/>
      <c r="EJ70" s="138"/>
      <c r="EK70" s="3">
        <v>-19752</v>
      </c>
      <c r="EL70" s="138">
        <v>1895</v>
      </c>
      <c r="EM70" s="138">
        <v>5818</v>
      </c>
      <c r="EN70" s="3">
        <v>-23520</v>
      </c>
      <c r="EO70" s="138">
        <v>2494</v>
      </c>
      <c r="EP70" s="138">
        <v>1989</v>
      </c>
      <c r="EQ70" s="3">
        <v>-26457</v>
      </c>
      <c r="ER70" s="138">
        <v>110</v>
      </c>
      <c r="ES70" s="138">
        <v>7543</v>
      </c>
      <c r="ET70" s="163">
        <v>7000</v>
      </c>
      <c r="EU70" s="163">
        <v>-1100</v>
      </c>
      <c r="EV70" s="138">
        <v>12000</v>
      </c>
      <c r="EW70" s="138"/>
      <c r="EX70" s="138">
        <v>13000</v>
      </c>
      <c r="EY70" s="138">
        <v>4205</v>
      </c>
      <c r="EZ70" s="138">
        <v>50092</v>
      </c>
      <c r="FA70" s="138">
        <v>42754</v>
      </c>
      <c r="FB70" s="138">
        <v>7338</v>
      </c>
      <c r="FC70" s="138">
        <v>172</v>
      </c>
      <c r="FD70" s="138">
        <v>54753</v>
      </c>
      <c r="FE70" s="138">
        <v>46500</v>
      </c>
      <c r="FF70" s="138">
        <v>8253</v>
      </c>
      <c r="FG70" s="138">
        <v>140</v>
      </c>
      <c r="FH70" s="138">
        <v>63704</v>
      </c>
      <c r="FI70" s="138">
        <v>50139</v>
      </c>
      <c r="FJ70" s="138">
        <v>13565</v>
      </c>
      <c r="FK70" s="138">
        <v>109</v>
      </c>
      <c r="FL70" s="147">
        <v>3431</v>
      </c>
      <c r="FM70" s="147">
        <v>3469.3952067981145</v>
      </c>
      <c r="FO70" s="181">
        <f t="shared" si="3"/>
        <v>5298.3</v>
      </c>
      <c r="FP70" s="179">
        <f t="shared" si="5"/>
        <v>174.6020761245675</v>
      </c>
      <c r="FR70" s="184"/>
      <c r="FV70" s="184">
        <v>7141</v>
      </c>
      <c r="FW70" s="2">
        <f t="shared" si="4"/>
        <v>-7141</v>
      </c>
    </row>
    <row r="71" spans="1:179" ht="12.75">
      <c r="A71" s="82">
        <v>213</v>
      </c>
      <c r="B71" s="80" t="s">
        <v>69</v>
      </c>
      <c r="C71" s="191">
        <v>5865</v>
      </c>
      <c r="D71" s="146"/>
      <c r="E71" s="150">
        <v>0.765662362505978</v>
      </c>
      <c r="F71" s="150">
        <v>45.1</v>
      </c>
      <c r="G71" s="151">
        <v>-2663</v>
      </c>
      <c r="H71" s="152"/>
      <c r="I71" s="152"/>
      <c r="J71" s="152"/>
      <c r="K71" s="150">
        <v>54.3</v>
      </c>
      <c r="L71" s="151">
        <v>49</v>
      </c>
      <c r="M71" s="151">
        <v>2</v>
      </c>
      <c r="N71" s="154">
        <v>7402.557544757033</v>
      </c>
      <c r="O71" s="146">
        <v>18315</v>
      </c>
      <c r="P71" s="139">
        <v>4943</v>
      </c>
      <c r="Q71" s="139">
        <v>37524</v>
      </c>
      <c r="R71" s="139">
        <v>-32581</v>
      </c>
      <c r="S71" s="146">
        <v>15660</v>
      </c>
      <c r="T71" s="139">
        <v>18270</v>
      </c>
      <c r="U71" s="160"/>
      <c r="W71" s="138">
        <v>-257</v>
      </c>
      <c r="X71" s="138">
        <v>200</v>
      </c>
      <c r="Y71" s="139">
        <v>1292</v>
      </c>
      <c r="Z71" s="138">
        <v>1069</v>
      </c>
      <c r="AA71" s="138">
        <v>43</v>
      </c>
      <c r="AB71" s="139"/>
      <c r="AC71" s="139">
        <v>266</v>
      </c>
      <c r="AE71" s="139"/>
      <c r="AG71" s="139">
        <v>266</v>
      </c>
      <c r="AH71" s="139">
        <v>3369</v>
      </c>
      <c r="AI71" s="139">
        <v>1274</v>
      </c>
      <c r="AJ71" s="176"/>
      <c r="AK71" s="139">
        <v>859</v>
      </c>
      <c r="AL71" s="151">
        <v>-1782</v>
      </c>
      <c r="AM71" s="151">
        <v>-1821</v>
      </c>
      <c r="AN71" s="146">
        <v>15660</v>
      </c>
      <c r="AO71" s="139">
        <v>12097</v>
      </c>
      <c r="AP71" s="139">
        <v>2349</v>
      </c>
      <c r="AQ71" s="139">
        <v>1214</v>
      </c>
      <c r="AR71" s="114">
        <v>19.5</v>
      </c>
      <c r="AS71" s="152"/>
      <c r="AT71" s="138">
        <v>187</v>
      </c>
      <c r="AU71" s="191">
        <v>5839</v>
      </c>
      <c r="AV71" s="146"/>
      <c r="AW71" s="150">
        <v>1.1398017736045905</v>
      </c>
      <c r="AX71" s="150">
        <v>41.3</v>
      </c>
      <c r="AY71" s="151">
        <v>-2426</v>
      </c>
      <c r="AZ71" s="152"/>
      <c r="BA71" s="152"/>
      <c r="BB71" s="152"/>
      <c r="BC71" s="150">
        <v>56.1</v>
      </c>
      <c r="BD71" s="151">
        <v>84</v>
      </c>
      <c r="BE71" s="151">
        <v>4</v>
      </c>
      <c r="BF71" s="154">
        <v>7025.004281555061</v>
      </c>
      <c r="BG71" s="146">
        <v>18406</v>
      </c>
      <c r="BH71" s="139">
        <v>5353</v>
      </c>
      <c r="BI71" s="139">
        <v>37703</v>
      </c>
      <c r="BJ71" s="139">
        <v>-32350</v>
      </c>
      <c r="BK71" s="146">
        <v>15106</v>
      </c>
      <c r="BL71" s="146">
        <v>19232</v>
      </c>
      <c r="BM71" s="160"/>
      <c r="BO71" s="138">
        <v>-170</v>
      </c>
      <c r="BP71" s="138">
        <v>149</v>
      </c>
      <c r="BQ71" s="139">
        <v>1967</v>
      </c>
      <c r="BR71" s="138">
        <v>1387</v>
      </c>
      <c r="BT71" s="139"/>
      <c r="BU71" s="139">
        <v>580</v>
      </c>
      <c r="BW71" s="139"/>
      <c r="BY71" s="138">
        <v>580</v>
      </c>
      <c r="BZ71" s="139">
        <v>3948</v>
      </c>
      <c r="CA71" s="139">
        <v>1592</v>
      </c>
      <c r="CB71" s="176"/>
      <c r="CC71" s="139">
        <v>-114</v>
      </c>
      <c r="CD71" s="151">
        <v>-1699</v>
      </c>
      <c r="CE71" s="151">
        <v>1117</v>
      </c>
      <c r="CF71" s="138">
        <v>15106</v>
      </c>
      <c r="CG71" s="139">
        <v>12275</v>
      </c>
      <c r="CH71" s="139">
        <v>1581</v>
      </c>
      <c r="CI71" s="139">
        <v>1250</v>
      </c>
      <c r="CJ71" s="114">
        <v>19.5</v>
      </c>
      <c r="CK71" s="152"/>
      <c r="CL71" s="138">
        <v>56</v>
      </c>
      <c r="CM71" s="190">
        <v>5801</v>
      </c>
      <c r="CN71" s="146"/>
      <c r="CO71" s="150">
        <v>1.8140969162995595</v>
      </c>
      <c r="CP71" s="150">
        <v>39.282222487182544</v>
      </c>
      <c r="CQ71" s="151">
        <v>-2387.5193932080674</v>
      </c>
      <c r="CR71" s="152"/>
      <c r="CS71" s="152"/>
      <c r="CT71" s="152"/>
      <c r="CU71" s="150">
        <v>57.13833568680917</v>
      </c>
      <c r="CV71" s="151">
        <v>91.01878986381658</v>
      </c>
      <c r="CW71" s="151">
        <v>4.421806167400881</v>
      </c>
      <c r="CX71" s="154">
        <v>7513.187381485951</v>
      </c>
      <c r="CY71" s="146">
        <v>18700</v>
      </c>
      <c r="CZ71" s="139">
        <v>5177</v>
      </c>
      <c r="DA71" s="139">
        <v>40118</v>
      </c>
      <c r="DB71" s="139">
        <v>-34941</v>
      </c>
      <c r="DC71" s="146">
        <v>16865</v>
      </c>
      <c r="DD71" s="146">
        <v>19893</v>
      </c>
      <c r="DE71" s="160"/>
      <c r="DG71" s="138">
        <v>-50</v>
      </c>
      <c r="DH71" s="138">
        <v>208</v>
      </c>
      <c r="DI71" s="139">
        <v>1975</v>
      </c>
      <c r="DJ71" s="138">
        <v>1332</v>
      </c>
      <c r="DK71" s="138">
        <v>459</v>
      </c>
      <c r="DL71" s="139"/>
      <c r="DM71" s="139">
        <v>1102</v>
      </c>
      <c r="DO71" s="139"/>
      <c r="DQ71" s="138">
        <v>1102</v>
      </c>
      <c r="DR71" s="139">
        <v>5051</v>
      </c>
      <c r="DS71" s="139">
        <v>1896</v>
      </c>
      <c r="DT71" s="176"/>
      <c r="DU71" s="139">
        <v>-361</v>
      </c>
      <c r="DV71" s="151">
        <v>-1051</v>
      </c>
      <c r="DW71" s="138">
        <v>379</v>
      </c>
      <c r="DX71" s="138">
        <v>16865</v>
      </c>
      <c r="DY71" s="146">
        <v>13617</v>
      </c>
      <c r="DZ71" s="196">
        <v>1839</v>
      </c>
      <c r="EA71" s="146">
        <v>1409</v>
      </c>
      <c r="EB71" s="114">
        <v>20</v>
      </c>
      <c r="EC71" s="152"/>
      <c r="ED71" s="138">
        <v>116</v>
      </c>
      <c r="EE71" s="138">
        <v>14646</v>
      </c>
      <c r="EF71" s="138">
        <v>14301</v>
      </c>
      <c r="EG71" s="138">
        <v>16393</v>
      </c>
      <c r="EH71" s="138"/>
      <c r="EI71" s="138"/>
      <c r="EJ71" s="138"/>
      <c r="EK71" s="3">
        <v>-3800</v>
      </c>
      <c r="EL71" s="138">
        <v>37</v>
      </c>
      <c r="EM71" s="138">
        <v>668</v>
      </c>
      <c r="EN71" s="3">
        <v>-1398</v>
      </c>
      <c r="EO71" s="138">
        <v>28</v>
      </c>
      <c r="EP71" s="138">
        <v>895</v>
      </c>
      <c r="EQ71" s="3">
        <v>-2221</v>
      </c>
      <c r="ER71" s="138">
        <v>4</v>
      </c>
      <c r="ES71" s="138">
        <v>700</v>
      </c>
      <c r="ET71" s="163"/>
      <c r="EU71" s="163">
        <v>1982</v>
      </c>
      <c r="EV71" s="138"/>
      <c r="EW71" s="138">
        <v>500</v>
      </c>
      <c r="EX71" s="138"/>
      <c r="EY71" s="138">
        <v>760</v>
      </c>
      <c r="EZ71" s="138">
        <v>12899</v>
      </c>
      <c r="FA71" s="138">
        <v>6917</v>
      </c>
      <c r="FB71" s="138">
        <v>5982</v>
      </c>
      <c r="FC71" s="138">
        <v>1880</v>
      </c>
      <c r="FD71" s="138">
        <v>11700</v>
      </c>
      <c r="FE71" s="138">
        <v>5909</v>
      </c>
      <c r="FF71" s="138">
        <v>5791</v>
      </c>
      <c r="FG71" s="138">
        <v>1879</v>
      </c>
      <c r="FH71" s="138">
        <v>11410</v>
      </c>
      <c r="FI71" s="138">
        <v>4858</v>
      </c>
      <c r="FJ71" s="138">
        <v>6552</v>
      </c>
      <c r="FK71" s="138">
        <v>1942</v>
      </c>
      <c r="FL71" s="147">
        <v>3420</v>
      </c>
      <c r="FM71" s="147">
        <v>3184.1068676143177</v>
      </c>
      <c r="FO71" s="181">
        <f t="shared" si="3"/>
        <v>680.85</v>
      </c>
      <c r="FP71" s="179">
        <f t="shared" si="5"/>
        <v>117.36769522496122</v>
      </c>
      <c r="FR71" s="184"/>
      <c r="FV71" s="184">
        <v>1782</v>
      </c>
      <c r="FW71" s="2">
        <f t="shared" si="4"/>
        <v>-1782</v>
      </c>
    </row>
    <row r="72" spans="1:179" ht="12.75">
      <c r="A72" s="82">
        <v>214</v>
      </c>
      <c r="B72" s="80" t="s">
        <v>70</v>
      </c>
      <c r="C72" s="191">
        <v>12078</v>
      </c>
      <c r="D72" s="146"/>
      <c r="E72" s="150">
        <v>-0.039097744360902256</v>
      </c>
      <c r="F72" s="150">
        <v>49.8</v>
      </c>
      <c r="G72" s="151">
        <v>-2168</v>
      </c>
      <c r="H72" s="152"/>
      <c r="I72" s="152"/>
      <c r="J72" s="152"/>
      <c r="K72" s="150">
        <v>34.1</v>
      </c>
      <c r="L72" s="151">
        <v>152</v>
      </c>
      <c r="M72" s="151">
        <v>8</v>
      </c>
      <c r="N72" s="154">
        <v>6608.8756416625265</v>
      </c>
      <c r="O72" s="146">
        <v>21596</v>
      </c>
      <c r="P72" s="139">
        <v>9350</v>
      </c>
      <c r="Q72" s="139">
        <v>69721</v>
      </c>
      <c r="R72" s="139">
        <v>-60371</v>
      </c>
      <c r="S72" s="146">
        <v>34992</v>
      </c>
      <c r="T72" s="139">
        <v>24007</v>
      </c>
      <c r="U72" s="160"/>
      <c r="W72" s="138">
        <v>-376</v>
      </c>
      <c r="X72" s="138">
        <v>1171</v>
      </c>
      <c r="Y72" s="139">
        <v>-577</v>
      </c>
      <c r="Z72" s="138">
        <v>2241</v>
      </c>
      <c r="AC72" s="139">
        <v>-2818</v>
      </c>
      <c r="AG72" s="139">
        <v>-2818</v>
      </c>
      <c r="AH72" s="139">
        <v>-939</v>
      </c>
      <c r="AI72" s="139">
        <v>-834</v>
      </c>
      <c r="AJ72" s="176"/>
      <c r="AK72" s="138">
        <v>-1904</v>
      </c>
      <c r="AL72" s="151">
        <v>-3569</v>
      </c>
      <c r="AM72" s="151">
        <v>-5393</v>
      </c>
      <c r="AN72" s="146">
        <v>34992</v>
      </c>
      <c r="AO72" s="139">
        <v>30111</v>
      </c>
      <c r="AP72" s="139">
        <v>2796</v>
      </c>
      <c r="AQ72" s="139">
        <v>2085</v>
      </c>
      <c r="AR72" s="114">
        <v>20</v>
      </c>
      <c r="AS72" s="152"/>
      <c r="AT72" s="138">
        <v>296</v>
      </c>
      <c r="AU72" s="191">
        <v>11957</v>
      </c>
      <c r="AV72" s="146"/>
      <c r="AW72" s="150">
        <v>0.3420234393685721</v>
      </c>
      <c r="AX72" s="150">
        <v>51.1</v>
      </c>
      <c r="AY72" s="151">
        <v>-2429</v>
      </c>
      <c r="AZ72" s="152"/>
      <c r="BA72" s="152"/>
      <c r="BB72" s="152"/>
      <c r="BC72" s="150">
        <v>30.7</v>
      </c>
      <c r="BD72" s="151">
        <v>144</v>
      </c>
      <c r="BE72" s="151">
        <v>8</v>
      </c>
      <c r="BF72" s="154">
        <v>6738.312285690391</v>
      </c>
      <c r="BG72" s="146">
        <v>22040</v>
      </c>
      <c r="BH72" s="139">
        <v>9223</v>
      </c>
      <c r="BI72" s="139">
        <v>71300</v>
      </c>
      <c r="BJ72" s="139">
        <v>-62077</v>
      </c>
      <c r="BK72" s="146">
        <v>36309</v>
      </c>
      <c r="BL72" s="146">
        <v>25962</v>
      </c>
      <c r="BM72" s="160"/>
      <c r="BO72" s="138">
        <v>-394</v>
      </c>
      <c r="BP72" s="138">
        <v>1179</v>
      </c>
      <c r="BQ72" s="139">
        <v>979</v>
      </c>
      <c r="BR72" s="138">
        <v>2374</v>
      </c>
      <c r="BU72" s="139">
        <v>-1395</v>
      </c>
      <c r="BX72" s="138">
        <v>2892</v>
      </c>
      <c r="BY72" s="138">
        <v>1497</v>
      </c>
      <c r="BZ72" s="139">
        <v>558</v>
      </c>
      <c r="CA72" s="139">
        <v>813</v>
      </c>
      <c r="CB72" s="176"/>
      <c r="CC72" s="138">
        <v>159</v>
      </c>
      <c r="CD72" s="151">
        <v>-3730</v>
      </c>
      <c r="CE72" s="151">
        <v>-2833</v>
      </c>
      <c r="CF72" s="138">
        <v>36309</v>
      </c>
      <c r="CG72" s="139">
        <v>32088</v>
      </c>
      <c r="CH72" s="139">
        <v>2078</v>
      </c>
      <c r="CI72" s="139">
        <v>2143</v>
      </c>
      <c r="CJ72" s="114">
        <v>20.5</v>
      </c>
      <c r="CK72" s="152"/>
      <c r="CL72" s="138">
        <v>204</v>
      </c>
      <c r="CM72" s="190">
        <v>11972</v>
      </c>
      <c r="CN72" s="146"/>
      <c r="CO72" s="150">
        <v>0.39339622641509436</v>
      </c>
      <c r="CP72" s="150">
        <v>57.04114992839966</v>
      </c>
      <c r="CQ72" s="151">
        <v>-2828.0153691947876</v>
      </c>
      <c r="CR72" s="152"/>
      <c r="CS72" s="152"/>
      <c r="CT72" s="152"/>
      <c r="CU72" s="150">
        <v>26.2379600438925</v>
      </c>
      <c r="CV72" s="151">
        <v>238.6401603742065</v>
      </c>
      <c r="CW72" s="151">
        <v>12.383239719276578</v>
      </c>
      <c r="CX72" s="154">
        <v>7033.9959906448385</v>
      </c>
      <c r="CY72" s="146">
        <v>22266</v>
      </c>
      <c r="CZ72" s="139">
        <v>9974</v>
      </c>
      <c r="DA72" s="139">
        <v>73625</v>
      </c>
      <c r="DB72" s="139">
        <v>-63651</v>
      </c>
      <c r="DC72" s="146">
        <v>38712</v>
      </c>
      <c r="DD72" s="146">
        <v>25494</v>
      </c>
      <c r="DE72" s="160"/>
      <c r="DG72" s="138">
        <v>-218</v>
      </c>
      <c r="DH72" s="138">
        <v>1056</v>
      </c>
      <c r="DI72" s="139">
        <v>1393</v>
      </c>
      <c r="DJ72" s="138">
        <v>2523</v>
      </c>
      <c r="DM72" s="139">
        <v>-1130</v>
      </c>
      <c r="DQ72" s="138">
        <v>-1130</v>
      </c>
      <c r="DR72" s="139">
        <v>-572</v>
      </c>
      <c r="DS72" s="139">
        <v>1231</v>
      </c>
      <c r="DT72" s="176"/>
      <c r="DU72" s="138">
        <v>220</v>
      </c>
      <c r="DV72" s="151">
        <v>-3965</v>
      </c>
      <c r="DW72" s="138">
        <v>-4959</v>
      </c>
      <c r="DX72" s="138">
        <v>38712</v>
      </c>
      <c r="DY72" s="146">
        <v>33848</v>
      </c>
      <c r="DZ72" s="196">
        <v>2337</v>
      </c>
      <c r="EA72" s="146">
        <v>2527</v>
      </c>
      <c r="EB72" s="114">
        <v>21</v>
      </c>
      <c r="EC72" s="152"/>
      <c r="ED72" s="138">
        <v>236</v>
      </c>
      <c r="EE72" s="138">
        <v>41696</v>
      </c>
      <c r="EF72" s="138">
        <v>42794</v>
      </c>
      <c r="EG72" s="138">
        <v>44791</v>
      </c>
      <c r="EH72" s="138"/>
      <c r="EI72" s="138">
        <v>850</v>
      </c>
      <c r="EJ72" s="138"/>
      <c r="EK72" s="3">
        <v>-6339</v>
      </c>
      <c r="EL72" s="138">
        <v>1149</v>
      </c>
      <c r="EM72" s="138">
        <v>631</v>
      </c>
      <c r="EN72" s="3">
        <v>-5180</v>
      </c>
      <c r="EO72" s="138">
        <v>1278</v>
      </c>
      <c r="EP72" s="138">
        <v>256</v>
      </c>
      <c r="EQ72" s="3">
        <v>-6469</v>
      </c>
      <c r="ER72" s="138">
        <v>20</v>
      </c>
      <c r="ES72" s="138">
        <v>259</v>
      </c>
      <c r="ET72" s="163">
        <v>7400</v>
      </c>
      <c r="EU72" s="163"/>
      <c r="EV72" s="138">
        <v>4000</v>
      </c>
      <c r="EW72" s="138"/>
      <c r="EX72" s="138">
        <v>10000</v>
      </c>
      <c r="EY72" s="138"/>
      <c r="EZ72" s="138">
        <v>24700</v>
      </c>
      <c r="FA72" s="138">
        <v>20970</v>
      </c>
      <c r="FB72" s="138">
        <v>3730</v>
      </c>
      <c r="FC72" s="138">
        <v>1881</v>
      </c>
      <c r="FD72" s="138">
        <v>24970</v>
      </c>
      <c r="FE72" s="138">
        <v>21005</v>
      </c>
      <c r="FF72" s="138">
        <v>3965</v>
      </c>
      <c r="FG72" s="138">
        <v>1814</v>
      </c>
      <c r="FH72" s="138">
        <v>31005</v>
      </c>
      <c r="FI72" s="138">
        <v>26444</v>
      </c>
      <c r="FJ72" s="138">
        <v>4561</v>
      </c>
      <c r="FK72" s="138">
        <v>1748</v>
      </c>
      <c r="FL72" s="147">
        <v>3766</v>
      </c>
      <c r="FM72" s="147">
        <v>4000.836330183156</v>
      </c>
      <c r="FO72" s="181">
        <f t="shared" si="3"/>
        <v>1611.8095238095239</v>
      </c>
      <c r="FP72" s="179">
        <f t="shared" si="5"/>
        <v>134.63160071913833</v>
      </c>
      <c r="FR72" s="184"/>
      <c r="FV72" s="184">
        <v>3569</v>
      </c>
      <c r="FW72" s="2">
        <f t="shared" si="4"/>
        <v>-3569</v>
      </c>
    </row>
    <row r="73" spans="1:179" ht="12.75">
      <c r="A73" s="82">
        <v>216</v>
      </c>
      <c r="B73" s="80" t="s">
        <v>71</v>
      </c>
      <c r="C73" s="191">
        <v>1544</v>
      </c>
      <c r="D73" s="146"/>
      <c r="E73" s="150">
        <v>2.019906323185012</v>
      </c>
      <c r="F73" s="150">
        <v>68.8</v>
      </c>
      <c r="G73" s="151">
        <v>-2830</v>
      </c>
      <c r="H73" s="152"/>
      <c r="I73" s="152"/>
      <c r="J73" s="152"/>
      <c r="K73" s="150">
        <v>54.7</v>
      </c>
      <c r="L73" s="151">
        <v>2910</v>
      </c>
      <c r="M73" s="151">
        <v>89</v>
      </c>
      <c r="N73" s="154">
        <v>11939.766839378239</v>
      </c>
      <c r="O73" s="146">
        <v>3726</v>
      </c>
      <c r="P73" s="139">
        <v>5000</v>
      </c>
      <c r="Q73" s="139">
        <v>12853</v>
      </c>
      <c r="R73" s="139">
        <v>-7853</v>
      </c>
      <c r="S73" s="146">
        <v>3861</v>
      </c>
      <c r="T73" s="139">
        <v>5630</v>
      </c>
      <c r="U73" s="160"/>
      <c r="W73" s="138">
        <v>-106</v>
      </c>
      <c r="X73" s="138">
        <v>46</v>
      </c>
      <c r="Y73" s="139">
        <v>1578</v>
      </c>
      <c r="Z73" s="138">
        <v>676</v>
      </c>
      <c r="AC73" s="139">
        <v>902</v>
      </c>
      <c r="AD73" s="139"/>
      <c r="AE73" s="139"/>
      <c r="AG73" s="139">
        <v>902</v>
      </c>
      <c r="AH73" s="139">
        <v>8555</v>
      </c>
      <c r="AI73" s="139">
        <v>1578</v>
      </c>
      <c r="AJ73" s="176"/>
      <c r="AK73" s="138">
        <v>-121</v>
      </c>
      <c r="AL73" s="151">
        <v>-707</v>
      </c>
      <c r="AM73" s="151">
        <v>-1569</v>
      </c>
      <c r="AN73" s="146">
        <v>3861</v>
      </c>
      <c r="AO73" s="139">
        <v>2962</v>
      </c>
      <c r="AP73" s="139">
        <v>597</v>
      </c>
      <c r="AQ73" s="139">
        <v>302</v>
      </c>
      <c r="AR73" s="114">
        <v>19.5</v>
      </c>
      <c r="AS73" s="152"/>
      <c r="AT73" s="138">
        <v>2</v>
      </c>
      <c r="AU73" s="191">
        <v>1553</v>
      </c>
      <c r="AV73" s="146"/>
      <c r="AW73" s="150">
        <v>1.111310592459605</v>
      </c>
      <c r="AX73" s="150">
        <v>71.9</v>
      </c>
      <c r="AY73" s="151">
        <v>-4350</v>
      </c>
      <c r="AZ73" s="152"/>
      <c r="BA73" s="152"/>
      <c r="BB73" s="152"/>
      <c r="BC73" s="150">
        <v>53.7</v>
      </c>
      <c r="BD73" s="151">
        <v>1442</v>
      </c>
      <c r="BE73" s="151">
        <v>43</v>
      </c>
      <c r="BF73" s="154">
        <v>12355.441081777206</v>
      </c>
      <c r="BG73" s="146">
        <v>3978</v>
      </c>
      <c r="BH73" s="139">
        <v>5168</v>
      </c>
      <c r="BI73" s="139">
        <v>13714</v>
      </c>
      <c r="BJ73" s="139">
        <v>-8546</v>
      </c>
      <c r="BK73" s="146">
        <v>3529</v>
      </c>
      <c r="BL73" s="146">
        <v>5950</v>
      </c>
      <c r="BM73" s="160"/>
      <c r="BO73" s="138">
        <v>-108</v>
      </c>
      <c r="BP73" s="138">
        <v>261</v>
      </c>
      <c r="BQ73" s="139">
        <v>1086</v>
      </c>
      <c r="BR73" s="138">
        <v>855</v>
      </c>
      <c r="BS73" s="138">
        <v>8</v>
      </c>
      <c r="BT73" s="138">
        <v>59</v>
      </c>
      <c r="BU73" s="139">
        <v>180</v>
      </c>
      <c r="BV73" s="139">
        <v>1</v>
      </c>
      <c r="BW73" s="139"/>
      <c r="BY73" s="138">
        <v>181</v>
      </c>
      <c r="BZ73" s="139">
        <v>8737</v>
      </c>
      <c r="CA73" s="139">
        <v>1034</v>
      </c>
      <c r="CB73" s="176"/>
      <c r="CC73" s="138">
        <v>-424</v>
      </c>
      <c r="CD73" s="151">
        <v>-962</v>
      </c>
      <c r="CE73" s="151">
        <v>-2453</v>
      </c>
      <c r="CF73" s="138">
        <v>3529</v>
      </c>
      <c r="CG73" s="139">
        <v>2891</v>
      </c>
      <c r="CH73" s="139">
        <v>345</v>
      </c>
      <c r="CI73" s="139">
        <v>293</v>
      </c>
      <c r="CJ73" s="114">
        <v>19.5</v>
      </c>
      <c r="CK73" s="152"/>
      <c r="CL73" s="138">
        <v>8</v>
      </c>
      <c r="CM73" s="190">
        <v>1520</v>
      </c>
      <c r="CN73" s="146"/>
      <c r="CO73" s="150">
        <v>1.2215073529411764</v>
      </c>
      <c r="CP73" s="150">
        <v>68.28317679381509</v>
      </c>
      <c r="CQ73" s="151">
        <v>-4709.868421052631</v>
      </c>
      <c r="CR73" s="152"/>
      <c r="CS73" s="152"/>
      <c r="CT73" s="152"/>
      <c r="CU73" s="150">
        <v>54.14116337799084</v>
      </c>
      <c r="CV73" s="151">
        <v>1396.0526315789475</v>
      </c>
      <c r="CW73" s="151">
        <v>42.58467121178799</v>
      </c>
      <c r="CX73" s="154">
        <v>11965.789473684212</v>
      </c>
      <c r="CY73" s="146">
        <v>4121</v>
      </c>
      <c r="CZ73" s="139">
        <v>5406</v>
      </c>
      <c r="DA73" s="139">
        <v>14506</v>
      </c>
      <c r="DB73" s="139">
        <v>-9100</v>
      </c>
      <c r="DC73" s="146">
        <v>3964</v>
      </c>
      <c r="DD73" s="146">
        <v>6281</v>
      </c>
      <c r="DE73" s="160"/>
      <c r="DG73" s="138">
        <v>-61</v>
      </c>
      <c r="DH73" s="138">
        <v>148</v>
      </c>
      <c r="DI73" s="139">
        <v>1232</v>
      </c>
      <c r="DJ73" s="138">
        <v>841</v>
      </c>
      <c r="DM73" s="139">
        <v>391</v>
      </c>
      <c r="DN73" s="139">
        <v>1</v>
      </c>
      <c r="DO73" s="139"/>
      <c r="DQ73" s="138">
        <v>392</v>
      </c>
      <c r="DR73" s="139">
        <v>9128</v>
      </c>
      <c r="DS73" s="139">
        <v>1231</v>
      </c>
      <c r="DT73" s="176"/>
      <c r="DU73" s="138">
        <v>127</v>
      </c>
      <c r="DV73" s="151">
        <v>-991</v>
      </c>
      <c r="DW73" s="138">
        <v>-342</v>
      </c>
      <c r="DX73" s="138">
        <v>3964</v>
      </c>
      <c r="DY73" s="146">
        <v>3247</v>
      </c>
      <c r="DZ73" s="196">
        <v>425</v>
      </c>
      <c r="EA73" s="146">
        <v>292</v>
      </c>
      <c r="EB73" s="114">
        <v>20</v>
      </c>
      <c r="EC73" s="152"/>
      <c r="ED73" s="138">
        <v>10</v>
      </c>
      <c r="EE73" s="138">
        <v>7607</v>
      </c>
      <c r="EF73" s="138">
        <v>8010</v>
      </c>
      <c r="EG73" s="138">
        <v>8643</v>
      </c>
      <c r="EH73" s="138"/>
      <c r="EI73" s="138"/>
      <c r="EJ73" s="138"/>
      <c r="EK73" s="3">
        <v>-4616</v>
      </c>
      <c r="EL73" s="138">
        <v>1469</v>
      </c>
      <c r="EM73" s="138"/>
      <c r="EN73" s="3">
        <v>-4352</v>
      </c>
      <c r="EO73" s="138">
        <v>864</v>
      </c>
      <c r="EP73" s="138">
        <v>1</v>
      </c>
      <c r="EQ73" s="3">
        <v>-2575</v>
      </c>
      <c r="ER73" s="138">
        <v>1000</v>
      </c>
      <c r="ES73" s="138">
        <v>2</v>
      </c>
      <c r="ET73" s="163">
        <v>2400</v>
      </c>
      <c r="EU73" s="163"/>
      <c r="EV73" s="138">
        <v>1200</v>
      </c>
      <c r="EW73" s="138">
        <v>280</v>
      </c>
      <c r="EX73" s="138">
        <v>1620</v>
      </c>
      <c r="EY73" s="138">
        <v>-70</v>
      </c>
      <c r="EZ73" s="138">
        <v>8212</v>
      </c>
      <c r="FA73" s="138">
        <v>4949</v>
      </c>
      <c r="FB73" s="138">
        <v>3263</v>
      </c>
      <c r="FC73" s="138">
        <v>0</v>
      </c>
      <c r="FD73" s="138">
        <v>8729</v>
      </c>
      <c r="FE73" s="138">
        <v>5038</v>
      </c>
      <c r="FF73" s="138">
        <v>3691</v>
      </c>
      <c r="FG73" s="138">
        <v>0</v>
      </c>
      <c r="FH73" s="138">
        <v>9288</v>
      </c>
      <c r="FI73" s="138">
        <v>5543</v>
      </c>
      <c r="FJ73" s="138">
        <v>3745</v>
      </c>
      <c r="FK73" s="138">
        <v>0</v>
      </c>
      <c r="FL73" s="147">
        <v>5786</v>
      </c>
      <c r="FM73" s="147">
        <v>6153.895685769478</v>
      </c>
      <c r="FO73" s="181">
        <f t="shared" si="3"/>
        <v>162.35</v>
      </c>
      <c r="FP73" s="179">
        <f t="shared" si="5"/>
        <v>106.80921052631578</v>
      </c>
      <c r="FR73" s="184"/>
      <c r="FV73" s="184">
        <v>707</v>
      </c>
      <c r="FW73" s="2">
        <f t="shared" si="4"/>
        <v>-707</v>
      </c>
    </row>
    <row r="74" spans="1:179" ht="12.75">
      <c r="A74" s="82">
        <v>217</v>
      </c>
      <c r="B74" s="80" t="s">
        <v>72</v>
      </c>
      <c r="C74" s="191">
        <v>5697</v>
      </c>
      <c r="D74" s="146"/>
      <c r="E74" s="150">
        <v>-0.04291845493562232</v>
      </c>
      <c r="F74" s="150">
        <v>30.8</v>
      </c>
      <c r="G74" s="151">
        <v>-1461</v>
      </c>
      <c r="H74" s="152"/>
      <c r="I74" s="152"/>
      <c r="J74" s="152"/>
      <c r="K74" s="150">
        <v>62.8</v>
      </c>
      <c r="L74" s="151">
        <v>40</v>
      </c>
      <c r="M74" s="151">
        <v>2</v>
      </c>
      <c r="N74" s="154">
        <v>6251.711427066877</v>
      </c>
      <c r="O74" s="146">
        <v>9452</v>
      </c>
      <c r="P74" s="139">
        <v>2838</v>
      </c>
      <c r="Q74" s="139">
        <v>31453</v>
      </c>
      <c r="R74" s="139">
        <v>-28615</v>
      </c>
      <c r="S74" s="146">
        <v>15649</v>
      </c>
      <c r="T74" s="139">
        <v>12888</v>
      </c>
      <c r="U74" s="160"/>
      <c r="W74" s="138">
        <v>-58</v>
      </c>
      <c r="X74" s="138">
        <v>29</v>
      </c>
      <c r="Y74" s="139">
        <v>-107</v>
      </c>
      <c r="Z74" s="138">
        <v>666</v>
      </c>
      <c r="AB74" s="139"/>
      <c r="AC74" s="139">
        <v>-773</v>
      </c>
      <c r="AD74" s="138">
        <v>-549</v>
      </c>
      <c r="AE74" s="138">
        <v>600</v>
      </c>
      <c r="AF74" s="139">
        <v>35</v>
      </c>
      <c r="AG74" s="139">
        <v>-687</v>
      </c>
      <c r="AH74" s="139">
        <v>5453</v>
      </c>
      <c r="AI74" s="139">
        <v>-130</v>
      </c>
      <c r="AJ74" s="176"/>
      <c r="AK74" s="139">
        <v>-176</v>
      </c>
      <c r="AL74" s="151">
        <v>-865</v>
      </c>
      <c r="AM74" s="151">
        <v>-3200</v>
      </c>
      <c r="AN74" s="146">
        <v>15649</v>
      </c>
      <c r="AO74" s="139">
        <v>13596</v>
      </c>
      <c r="AP74" s="139">
        <v>1301</v>
      </c>
      <c r="AQ74" s="139">
        <v>752</v>
      </c>
      <c r="AR74" s="114">
        <v>19.5</v>
      </c>
      <c r="AS74" s="152"/>
      <c r="AT74" s="138">
        <v>290</v>
      </c>
      <c r="AU74" s="191">
        <v>5736</v>
      </c>
      <c r="AV74" s="146"/>
      <c r="AW74" s="150">
        <v>-0.4722617354196302</v>
      </c>
      <c r="AX74" s="150">
        <v>39.4</v>
      </c>
      <c r="AY74" s="151">
        <v>-1993</v>
      </c>
      <c r="AZ74" s="152"/>
      <c r="BA74" s="152"/>
      <c r="BB74" s="152"/>
      <c r="BC74" s="150">
        <v>54.1</v>
      </c>
      <c r="BD74" s="151">
        <v>76</v>
      </c>
      <c r="BE74" s="151">
        <v>4</v>
      </c>
      <c r="BF74" s="154">
        <v>6415.6206415620645</v>
      </c>
      <c r="BG74" s="146">
        <v>9863</v>
      </c>
      <c r="BH74" s="139">
        <v>3106</v>
      </c>
      <c r="BI74" s="139">
        <v>32872</v>
      </c>
      <c r="BJ74" s="139">
        <v>-29766</v>
      </c>
      <c r="BK74" s="146">
        <v>15958</v>
      </c>
      <c r="BL74" s="146">
        <v>13456</v>
      </c>
      <c r="BM74" s="160"/>
      <c r="BO74" s="138">
        <v>-26</v>
      </c>
      <c r="BP74" s="138">
        <v>6</v>
      </c>
      <c r="BQ74" s="139">
        <v>-372</v>
      </c>
      <c r="BR74" s="138">
        <v>769</v>
      </c>
      <c r="BT74" s="139"/>
      <c r="BU74" s="139">
        <v>-1141</v>
      </c>
      <c r="BV74" s="138">
        <v>100</v>
      </c>
      <c r="BX74" s="139">
        <v>17</v>
      </c>
      <c r="BY74" s="138">
        <v>-1024</v>
      </c>
      <c r="BZ74" s="139">
        <v>4428</v>
      </c>
      <c r="CA74" s="139">
        <v>-419</v>
      </c>
      <c r="CB74" s="176"/>
      <c r="CC74" s="139">
        <v>150</v>
      </c>
      <c r="CD74" s="151">
        <v>-663</v>
      </c>
      <c r="CE74" s="151">
        <v>-3121</v>
      </c>
      <c r="CF74" s="138">
        <v>15958</v>
      </c>
      <c r="CG74" s="139">
        <v>14090</v>
      </c>
      <c r="CH74" s="139">
        <v>967</v>
      </c>
      <c r="CI74" s="139">
        <v>901</v>
      </c>
      <c r="CJ74" s="114">
        <v>19.5</v>
      </c>
      <c r="CK74" s="152"/>
      <c r="CL74" s="138">
        <v>274</v>
      </c>
      <c r="CM74" s="190">
        <v>5675</v>
      </c>
      <c r="CN74" s="146"/>
      <c r="CO74" s="150">
        <v>2.948148148148148</v>
      </c>
      <c r="CP74" s="150">
        <v>47.41686634328794</v>
      </c>
      <c r="CQ74" s="151">
        <v>-2663.7885462555064</v>
      </c>
      <c r="CR74" s="152"/>
      <c r="CS74" s="152"/>
      <c r="CT74" s="152"/>
      <c r="CU74" s="150">
        <v>49.22744692499544</v>
      </c>
      <c r="CV74" s="151">
        <v>37.88546255506608</v>
      </c>
      <c r="CW74" s="151">
        <v>2.0039581205311543</v>
      </c>
      <c r="CX74" s="154">
        <v>6900.440528634361</v>
      </c>
      <c r="CY74" s="146">
        <v>9983</v>
      </c>
      <c r="CZ74" s="139">
        <v>3525</v>
      </c>
      <c r="DA74" s="139">
        <v>32636</v>
      </c>
      <c r="DB74" s="139">
        <v>-29111</v>
      </c>
      <c r="DC74" s="146">
        <v>17516</v>
      </c>
      <c r="DD74" s="146">
        <v>13181</v>
      </c>
      <c r="DE74" s="160"/>
      <c r="DG74" s="138">
        <v>-8</v>
      </c>
      <c r="DH74" s="138">
        <v>0</v>
      </c>
      <c r="DI74" s="139">
        <v>1578</v>
      </c>
      <c r="DJ74" s="138">
        <v>826</v>
      </c>
      <c r="DL74" s="139"/>
      <c r="DM74" s="139">
        <v>752</v>
      </c>
      <c r="DN74" s="138">
        <v>101</v>
      </c>
      <c r="DP74" s="139"/>
      <c r="DQ74" s="138">
        <v>853</v>
      </c>
      <c r="DR74" s="139">
        <v>5282</v>
      </c>
      <c r="DS74" s="139">
        <v>1465</v>
      </c>
      <c r="DT74" s="176"/>
      <c r="DU74" s="139">
        <v>85</v>
      </c>
      <c r="DV74" s="151">
        <v>-526</v>
      </c>
      <c r="DW74" s="138">
        <v>-2851</v>
      </c>
      <c r="DX74" s="138">
        <v>17516</v>
      </c>
      <c r="DY74" s="146">
        <v>15532</v>
      </c>
      <c r="DZ74" s="196">
        <v>1042</v>
      </c>
      <c r="EA74" s="146">
        <v>942</v>
      </c>
      <c r="EB74" s="114">
        <v>20.5</v>
      </c>
      <c r="EC74" s="152"/>
      <c r="ED74" s="138">
        <v>156</v>
      </c>
      <c r="EE74" s="138">
        <v>19409</v>
      </c>
      <c r="EF74" s="138">
        <v>20401</v>
      </c>
      <c r="EG74" s="138">
        <v>19847</v>
      </c>
      <c r="EH74" s="138"/>
      <c r="EI74" s="138"/>
      <c r="EJ74" s="138"/>
      <c r="EK74" s="3">
        <v>-3217</v>
      </c>
      <c r="EL74" s="138">
        <v>84</v>
      </c>
      <c r="EM74" s="138">
        <v>69</v>
      </c>
      <c r="EN74" s="3">
        <v>-3219</v>
      </c>
      <c r="EO74" s="138">
        <v>429</v>
      </c>
      <c r="EP74" s="138">
        <v>80</v>
      </c>
      <c r="EQ74" s="3">
        <v>-5083</v>
      </c>
      <c r="ER74" s="138">
        <v>629</v>
      </c>
      <c r="ES74" s="138">
        <v>138</v>
      </c>
      <c r="ET74" s="163"/>
      <c r="EU74" s="163">
        <v>2694</v>
      </c>
      <c r="EV74" s="138"/>
      <c r="EW74" s="138">
        <v>3500</v>
      </c>
      <c r="EX74" s="138"/>
      <c r="EY74" s="138">
        <v>5100</v>
      </c>
      <c r="EZ74" s="138">
        <v>6531</v>
      </c>
      <c r="FA74" s="138">
        <v>2368</v>
      </c>
      <c r="FB74" s="138">
        <v>4163</v>
      </c>
      <c r="FC74" s="138">
        <v>477</v>
      </c>
      <c r="FD74" s="138">
        <v>9368</v>
      </c>
      <c r="FE74" s="138">
        <v>1842</v>
      </c>
      <c r="FF74" s="138">
        <v>7526</v>
      </c>
      <c r="FG74" s="138">
        <v>477</v>
      </c>
      <c r="FH74" s="138">
        <v>13942</v>
      </c>
      <c r="FI74" s="138">
        <v>1316</v>
      </c>
      <c r="FJ74" s="138">
        <v>12626</v>
      </c>
      <c r="FK74" s="138">
        <v>1314</v>
      </c>
      <c r="FL74" s="147">
        <v>2782</v>
      </c>
      <c r="FM74" s="147">
        <v>3294.804741980474</v>
      </c>
      <c r="FO74" s="181">
        <f t="shared" si="3"/>
        <v>757.6585365853658</v>
      </c>
      <c r="FP74" s="179">
        <f t="shared" si="5"/>
        <v>133.50811217363272</v>
      </c>
      <c r="FR74" s="184"/>
      <c r="FV74" s="184">
        <v>865</v>
      </c>
      <c r="FW74" s="2">
        <f t="shared" si="4"/>
        <v>-865</v>
      </c>
    </row>
    <row r="75" spans="1:179" ht="12.75">
      <c r="A75" s="82">
        <v>218</v>
      </c>
      <c r="B75" s="80" t="s">
        <v>73</v>
      </c>
      <c r="C75" s="191">
        <v>1527</v>
      </c>
      <c r="D75" s="146"/>
      <c r="E75" s="150">
        <v>0.26344086021505375</v>
      </c>
      <c r="F75" s="150">
        <v>23.8</v>
      </c>
      <c r="G75" s="151">
        <v>-470</v>
      </c>
      <c r="H75" s="152"/>
      <c r="I75" s="152"/>
      <c r="J75" s="152"/>
      <c r="K75" s="150">
        <v>65.7</v>
      </c>
      <c r="L75" s="151">
        <v>726</v>
      </c>
      <c r="M75" s="151">
        <v>43</v>
      </c>
      <c r="N75" s="154">
        <v>6094.957432874918</v>
      </c>
      <c r="O75" s="146">
        <v>1755</v>
      </c>
      <c r="P75" s="139">
        <v>959</v>
      </c>
      <c r="Q75" s="139">
        <v>8652</v>
      </c>
      <c r="R75" s="139">
        <v>-7693</v>
      </c>
      <c r="S75" s="146">
        <v>3618</v>
      </c>
      <c r="T75" s="139">
        <v>4145</v>
      </c>
      <c r="U75" s="160"/>
      <c r="W75" s="138">
        <v>-11</v>
      </c>
      <c r="X75" s="138">
        <v>9</v>
      </c>
      <c r="Y75" s="139">
        <v>68</v>
      </c>
      <c r="Z75" s="138">
        <v>201</v>
      </c>
      <c r="AC75" s="139">
        <v>-133</v>
      </c>
      <c r="AG75" s="139">
        <v>-133</v>
      </c>
      <c r="AH75" s="139">
        <v>1176</v>
      </c>
      <c r="AI75" s="139">
        <v>70</v>
      </c>
      <c r="AJ75" s="176"/>
      <c r="AK75" s="139">
        <v>151</v>
      </c>
      <c r="AL75" s="151">
        <v>-342</v>
      </c>
      <c r="AM75" s="151">
        <v>-209</v>
      </c>
      <c r="AN75" s="146">
        <v>3618</v>
      </c>
      <c r="AO75" s="139">
        <v>3081</v>
      </c>
      <c r="AP75" s="139">
        <v>374</v>
      </c>
      <c r="AQ75" s="139">
        <v>163</v>
      </c>
      <c r="AR75" s="114">
        <v>20</v>
      </c>
      <c r="AS75" s="152"/>
      <c r="AT75" s="138">
        <v>267</v>
      </c>
      <c r="AU75" s="191">
        <v>1514</v>
      </c>
      <c r="AV75" s="146"/>
      <c r="AW75" s="150">
        <v>0.3065326633165829</v>
      </c>
      <c r="AX75" s="150">
        <v>25.9</v>
      </c>
      <c r="AY75" s="151">
        <v>-640</v>
      </c>
      <c r="AZ75" s="152"/>
      <c r="BA75" s="152"/>
      <c r="BB75" s="152"/>
      <c r="BC75" s="150">
        <v>62.7</v>
      </c>
      <c r="BD75" s="151">
        <v>841</v>
      </c>
      <c r="BE75" s="151">
        <v>46</v>
      </c>
      <c r="BF75" s="154">
        <v>6618.89035667107</v>
      </c>
      <c r="BG75" s="146">
        <v>1824</v>
      </c>
      <c r="BH75" s="139">
        <v>1032</v>
      </c>
      <c r="BI75" s="139">
        <v>9279</v>
      </c>
      <c r="BJ75" s="139">
        <v>-8247</v>
      </c>
      <c r="BK75" s="146">
        <v>4002</v>
      </c>
      <c r="BL75" s="146">
        <v>4346</v>
      </c>
      <c r="BM75" s="160"/>
      <c r="BO75" s="138">
        <v>-14</v>
      </c>
      <c r="BP75" s="138">
        <v>9</v>
      </c>
      <c r="BQ75" s="139">
        <v>96</v>
      </c>
      <c r="BR75" s="138">
        <v>207</v>
      </c>
      <c r="BU75" s="139">
        <v>-111</v>
      </c>
      <c r="BY75" s="138">
        <v>-111</v>
      </c>
      <c r="BZ75" s="139">
        <v>1064</v>
      </c>
      <c r="CA75" s="139">
        <v>100</v>
      </c>
      <c r="CB75" s="176"/>
      <c r="CC75" s="139">
        <v>66</v>
      </c>
      <c r="CD75" s="151">
        <v>-372</v>
      </c>
      <c r="CE75" s="151">
        <v>-218</v>
      </c>
      <c r="CF75" s="138">
        <v>4002</v>
      </c>
      <c r="CG75" s="139">
        <v>3571</v>
      </c>
      <c r="CH75" s="139">
        <v>255</v>
      </c>
      <c r="CI75" s="139">
        <v>176</v>
      </c>
      <c r="CJ75" s="114">
        <v>20.5</v>
      </c>
      <c r="CK75" s="152"/>
      <c r="CL75" s="138">
        <v>212</v>
      </c>
      <c r="CM75" s="190">
        <v>1462</v>
      </c>
      <c r="CN75" s="146"/>
      <c r="CO75" s="150">
        <v>-0.31794871794871793</v>
      </c>
      <c r="CP75" s="150">
        <v>34.7077188071913</v>
      </c>
      <c r="CQ75" s="151">
        <v>-1320.109439124487</v>
      </c>
      <c r="CR75" s="152"/>
      <c r="CS75" s="152"/>
      <c r="CT75" s="152"/>
      <c r="CU75" s="150">
        <v>55.244244122304785</v>
      </c>
      <c r="CV75" s="151">
        <v>727.0861833105336</v>
      </c>
      <c r="CW75" s="151">
        <v>36.05566397174984</v>
      </c>
      <c r="CX75" s="154">
        <v>7360.46511627907</v>
      </c>
      <c r="CY75" s="146">
        <v>1759</v>
      </c>
      <c r="CZ75" s="139">
        <v>1046</v>
      </c>
      <c r="DA75" s="139">
        <v>9423</v>
      </c>
      <c r="DB75" s="139">
        <v>-8377</v>
      </c>
      <c r="DC75" s="146">
        <v>3889</v>
      </c>
      <c r="DD75" s="146">
        <v>4354</v>
      </c>
      <c r="DE75" s="160"/>
      <c r="DG75" s="138">
        <v>-24</v>
      </c>
      <c r="DH75" s="138">
        <v>3</v>
      </c>
      <c r="DI75" s="139">
        <v>-155</v>
      </c>
      <c r="DJ75" s="138">
        <v>240</v>
      </c>
      <c r="DM75" s="139">
        <v>-395</v>
      </c>
      <c r="DQ75" s="138">
        <v>-395</v>
      </c>
      <c r="DR75" s="139">
        <v>669</v>
      </c>
      <c r="DS75" s="139">
        <v>-170</v>
      </c>
      <c r="DT75" s="176"/>
      <c r="DU75" s="139">
        <v>-45</v>
      </c>
      <c r="DV75" s="151">
        <v>-360</v>
      </c>
      <c r="DW75" s="138">
        <v>-969</v>
      </c>
      <c r="DX75" s="138">
        <v>3889</v>
      </c>
      <c r="DY75" s="146">
        <v>3431</v>
      </c>
      <c r="DZ75" s="196">
        <v>266</v>
      </c>
      <c r="EA75" s="146">
        <v>192</v>
      </c>
      <c r="EB75" s="114">
        <v>21</v>
      </c>
      <c r="EC75" s="152"/>
      <c r="ED75" s="138">
        <v>294</v>
      </c>
      <c r="EE75" s="138">
        <v>6168</v>
      </c>
      <c r="EF75" s="138">
        <v>6677</v>
      </c>
      <c r="EG75" s="138">
        <v>6935</v>
      </c>
      <c r="EH75" s="138"/>
      <c r="EI75" s="138"/>
      <c r="EJ75" s="138"/>
      <c r="EK75" s="3">
        <v>-283</v>
      </c>
      <c r="EL75" s="138"/>
      <c r="EM75" s="138">
        <v>5</v>
      </c>
      <c r="EN75" s="3">
        <v>-344</v>
      </c>
      <c r="EO75" s="138"/>
      <c r="EP75" s="138">
        <v>26</v>
      </c>
      <c r="EQ75" s="3">
        <v>-945</v>
      </c>
      <c r="ER75" s="138">
        <v>130</v>
      </c>
      <c r="ES75" s="138">
        <v>16</v>
      </c>
      <c r="ET75" s="163"/>
      <c r="EU75" s="163"/>
      <c r="EV75" s="138">
        <v>600</v>
      </c>
      <c r="EW75" s="138"/>
      <c r="EX75" s="138">
        <v>1095</v>
      </c>
      <c r="EY75" s="138"/>
      <c r="EZ75" s="138">
        <v>1250</v>
      </c>
      <c r="FA75" s="138">
        <v>907</v>
      </c>
      <c r="FB75" s="138">
        <v>343</v>
      </c>
      <c r="FC75" s="138">
        <v>260</v>
      </c>
      <c r="FD75" s="138">
        <v>1477</v>
      </c>
      <c r="FE75" s="138">
        <v>1116</v>
      </c>
      <c r="FF75" s="138">
        <v>361</v>
      </c>
      <c r="FG75" s="138">
        <v>224</v>
      </c>
      <c r="FH75" s="138">
        <v>2211</v>
      </c>
      <c r="FI75" s="138">
        <v>1875</v>
      </c>
      <c r="FJ75" s="138">
        <v>336</v>
      </c>
      <c r="FK75" s="138">
        <v>165</v>
      </c>
      <c r="FL75" s="147">
        <v>1138</v>
      </c>
      <c r="FM75" s="147">
        <v>1393.659180977543</v>
      </c>
      <c r="FO75" s="181">
        <f t="shared" si="3"/>
        <v>163.38095238095238</v>
      </c>
      <c r="FP75" s="179">
        <f t="shared" si="5"/>
        <v>111.7516774151521</v>
      </c>
      <c r="FR75" s="184"/>
      <c r="FV75" s="184">
        <v>342</v>
      </c>
      <c r="FW75" s="2">
        <f t="shared" si="4"/>
        <v>-342</v>
      </c>
    </row>
    <row r="76" spans="1:179" ht="12.75">
      <c r="A76" s="82">
        <v>224</v>
      </c>
      <c r="B76" s="80" t="s">
        <v>74</v>
      </c>
      <c r="C76" s="191">
        <v>9190</v>
      </c>
      <c r="D76" s="146"/>
      <c r="E76" s="150">
        <v>0.8582384957941613</v>
      </c>
      <c r="F76" s="150">
        <v>78.6</v>
      </c>
      <c r="G76" s="151">
        <v>-4238</v>
      </c>
      <c r="H76" s="152"/>
      <c r="I76" s="152"/>
      <c r="J76" s="152"/>
      <c r="K76" s="150">
        <v>13.7</v>
      </c>
      <c r="L76" s="151">
        <v>149</v>
      </c>
      <c r="M76" s="151">
        <v>9</v>
      </c>
      <c r="N76" s="154">
        <v>6157.671381936888</v>
      </c>
      <c r="O76" s="146">
        <v>13577</v>
      </c>
      <c r="P76" s="139">
        <v>7487</v>
      </c>
      <c r="Q76" s="139">
        <v>49408</v>
      </c>
      <c r="R76" s="139">
        <v>-41921</v>
      </c>
      <c r="S76" s="146">
        <v>29958</v>
      </c>
      <c r="T76" s="139">
        <v>15231</v>
      </c>
      <c r="U76" s="160"/>
      <c r="W76" s="138">
        <v>-924</v>
      </c>
      <c r="X76" s="138">
        <v>184</v>
      </c>
      <c r="Y76" s="139">
        <v>2528</v>
      </c>
      <c r="Z76" s="138">
        <v>1876</v>
      </c>
      <c r="AC76" s="139">
        <v>652</v>
      </c>
      <c r="AG76" s="139">
        <v>652</v>
      </c>
      <c r="AH76" s="139">
        <v>-797</v>
      </c>
      <c r="AI76" s="139">
        <v>1915</v>
      </c>
      <c r="AJ76" s="176"/>
      <c r="AK76" s="138">
        <v>120</v>
      </c>
      <c r="AL76" s="151">
        <v>-3101</v>
      </c>
      <c r="AM76" s="151">
        <v>-507</v>
      </c>
      <c r="AN76" s="146">
        <v>29958</v>
      </c>
      <c r="AO76" s="139">
        <v>26423</v>
      </c>
      <c r="AP76" s="139">
        <v>1773</v>
      </c>
      <c r="AQ76" s="139">
        <v>1762</v>
      </c>
      <c r="AR76" s="114">
        <v>20.25</v>
      </c>
      <c r="AS76" s="152"/>
      <c r="AT76" s="138">
        <v>146</v>
      </c>
      <c r="AU76" s="191">
        <v>9119</v>
      </c>
      <c r="AV76" s="146"/>
      <c r="AW76" s="150">
        <v>0.3539635438745231</v>
      </c>
      <c r="AX76" s="150">
        <v>84</v>
      </c>
      <c r="AY76" s="151">
        <v>-4683</v>
      </c>
      <c r="AZ76" s="152"/>
      <c r="BA76" s="152"/>
      <c r="BB76" s="152"/>
      <c r="BC76" s="150">
        <v>11.5</v>
      </c>
      <c r="BD76" s="151">
        <v>27</v>
      </c>
      <c r="BE76" s="151">
        <v>1</v>
      </c>
      <c r="BF76" s="154">
        <v>6610.593266805571</v>
      </c>
      <c r="BG76" s="146">
        <v>14168</v>
      </c>
      <c r="BH76" s="139">
        <v>7525</v>
      </c>
      <c r="BI76" s="139">
        <v>50711</v>
      </c>
      <c r="BJ76" s="139">
        <v>-43186</v>
      </c>
      <c r="BK76" s="146">
        <v>29948</v>
      </c>
      <c r="BL76" s="146">
        <v>14764</v>
      </c>
      <c r="BM76" s="160"/>
      <c r="BO76" s="138">
        <v>-834</v>
      </c>
      <c r="BP76" s="138">
        <v>141</v>
      </c>
      <c r="BQ76" s="139">
        <v>833</v>
      </c>
      <c r="BR76" s="138">
        <v>1655</v>
      </c>
      <c r="BU76" s="139">
        <v>-822</v>
      </c>
      <c r="BY76" s="138">
        <v>-822</v>
      </c>
      <c r="BZ76" s="139">
        <v>-1620</v>
      </c>
      <c r="CA76" s="139">
        <v>42</v>
      </c>
      <c r="CB76" s="176"/>
      <c r="CC76" s="138">
        <v>139</v>
      </c>
      <c r="CD76" s="151">
        <v>-3881</v>
      </c>
      <c r="CE76" s="151">
        <v>-3757</v>
      </c>
      <c r="CF76" s="138">
        <v>29948</v>
      </c>
      <c r="CG76" s="139">
        <v>26942</v>
      </c>
      <c r="CH76" s="139">
        <v>1226</v>
      </c>
      <c r="CI76" s="139">
        <v>1780</v>
      </c>
      <c r="CJ76" s="114">
        <v>20.25</v>
      </c>
      <c r="CK76" s="152"/>
      <c r="CL76" s="138">
        <v>196</v>
      </c>
      <c r="CM76" s="190">
        <v>9074</v>
      </c>
      <c r="CN76" s="146"/>
      <c r="CO76" s="150">
        <v>0.6572706935123043</v>
      </c>
      <c r="CP76" s="150">
        <v>83.62007755748539</v>
      </c>
      <c r="CQ76" s="151">
        <v>-4762.61847035486</v>
      </c>
      <c r="CR76" s="152"/>
      <c r="CS76" s="152"/>
      <c r="CT76" s="152"/>
      <c r="CU76" s="150">
        <v>12.036204290170113</v>
      </c>
      <c r="CV76" s="151">
        <v>182.94026890015428</v>
      </c>
      <c r="CW76" s="151">
        <v>10.147718898640049</v>
      </c>
      <c r="CX76" s="154">
        <v>6580.119021379766</v>
      </c>
      <c r="CY76" s="146">
        <v>14129</v>
      </c>
      <c r="CZ76" s="139">
        <v>7371</v>
      </c>
      <c r="DA76" s="139">
        <v>52117</v>
      </c>
      <c r="DB76" s="139">
        <v>-44746</v>
      </c>
      <c r="DC76" s="146">
        <v>32354</v>
      </c>
      <c r="DD76" s="146">
        <v>15202</v>
      </c>
      <c r="DE76" s="160"/>
      <c r="DG76" s="138">
        <v>-586</v>
      </c>
      <c r="DH76" s="138">
        <v>120</v>
      </c>
      <c r="DI76" s="139">
        <v>2344</v>
      </c>
      <c r="DJ76" s="138">
        <v>1814</v>
      </c>
      <c r="DK76" s="138">
        <v>28</v>
      </c>
      <c r="DM76" s="139">
        <v>558</v>
      </c>
      <c r="DQ76" s="138">
        <v>558</v>
      </c>
      <c r="DR76" s="139">
        <v>-1061</v>
      </c>
      <c r="DS76" s="139">
        <v>2003</v>
      </c>
      <c r="DT76" s="176"/>
      <c r="DU76" s="138">
        <v>-112</v>
      </c>
      <c r="DV76" s="151">
        <v>-3881</v>
      </c>
      <c r="DW76" s="138">
        <v>-518</v>
      </c>
      <c r="DX76" s="138">
        <v>32354</v>
      </c>
      <c r="DY76" s="146">
        <v>29327</v>
      </c>
      <c r="DZ76" s="196">
        <v>1167</v>
      </c>
      <c r="EA76" s="146">
        <v>1860</v>
      </c>
      <c r="EB76" s="114">
        <v>20.75</v>
      </c>
      <c r="EC76" s="152"/>
      <c r="ED76" s="138">
        <v>165</v>
      </c>
      <c r="EE76" s="138">
        <v>32187</v>
      </c>
      <c r="EF76" s="138">
        <v>32682</v>
      </c>
      <c r="EG76" s="138">
        <v>34382</v>
      </c>
      <c r="EH76" s="138">
        <v>1000</v>
      </c>
      <c r="EI76" s="138"/>
      <c r="EJ76" s="138"/>
      <c r="EK76" s="3">
        <v>-3138</v>
      </c>
      <c r="EL76" s="138"/>
      <c r="EM76" s="138">
        <v>716</v>
      </c>
      <c r="EN76" s="3">
        <v>-4848</v>
      </c>
      <c r="EO76" s="138">
        <v>164</v>
      </c>
      <c r="EP76" s="138">
        <v>885</v>
      </c>
      <c r="EQ76" s="3">
        <v>-3113</v>
      </c>
      <c r="ES76" s="138">
        <v>592</v>
      </c>
      <c r="ET76" s="163">
        <v>9500</v>
      </c>
      <c r="EU76" s="163">
        <v>-7200</v>
      </c>
      <c r="EV76" s="138"/>
      <c r="EW76" s="138">
        <v>7080</v>
      </c>
      <c r="EX76" s="138"/>
      <c r="EY76" s="138">
        <v>5800</v>
      </c>
      <c r="EZ76" s="138">
        <v>36403</v>
      </c>
      <c r="FA76" s="138">
        <v>22902</v>
      </c>
      <c r="FB76" s="138">
        <v>13501</v>
      </c>
      <c r="FC76" s="138">
        <v>0</v>
      </c>
      <c r="FD76" s="138">
        <v>39602</v>
      </c>
      <c r="FE76" s="138">
        <v>19021</v>
      </c>
      <c r="FF76" s="138">
        <v>20581</v>
      </c>
      <c r="FG76" s="138">
        <v>0</v>
      </c>
      <c r="FH76" s="138">
        <v>41520</v>
      </c>
      <c r="FI76" s="138">
        <v>15140</v>
      </c>
      <c r="FJ76" s="138">
        <v>26380</v>
      </c>
      <c r="FK76" s="138">
        <v>0</v>
      </c>
      <c r="FL76" s="147">
        <v>4261</v>
      </c>
      <c r="FM76" s="147">
        <v>4703.366597214606</v>
      </c>
      <c r="FO76" s="181">
        <f t="shared" si="3"/>
        <v>1413.3493975903614</v>
      </c>
      <c r="FP76" s="179">
        <f t="shared" si="5"/>
        <v>155.7581438825613</v>
      </c>
      <c r="FR76" s="184"/>
      <c r="FV76" s="184">
        <v>3101</v>
      </c>
      <c r="FW76" s="2">
        <f t="shared" si="4"/>
        <v>-3101</v>
      </c>
    </row>
    <row r="77" spans="1:179" ht="12.75">
      <c r="A77" s="82">
        <v>226</v>
      </c>
      <c r="B77" s="80" t="s">
        <v>75</v>
      </c>
      <c r="C77" s="191">
        <v>4462</v>
      </c>
      <c r="D77" s="146"/>
      <c r="E77" s="150">
        <v>2.1264367816091956</v>
      </c>
      <c r="F77" s="150">
        <v>49.5</v>
      </c>
      <c r="G77" s="151">
        <v>-1427</v>
      </c>
      <c r="H77" s="152"/>
      <c r="I77" s="152"/>
      <c r="J77" s="152"/>
      <c r="K77" s="150">
        <v>51.2</v>
      </c>
      <c r="L77" s="151">
        <v>2104</v>
      </c>
      <c r="M77" s="151">
        <v>97</v>
      </c>
      <c r="N77" s="154">
        <v>7907.888839085612</v>
      </c>
      <c r="O77" s="146">
        <v>12951</v>
      </c>
      <c r="P77" s="139">
        <v>9443</v>
      </c>
      <c r="Q77" s="139">
        <v>33156</v>
      </c>
      <c r="R77" s="139">
        <v>-23713</v>
      </c>
      <c r="S77" s="146">
        <v>10755</v>
      </c>
      <c r="T77" s="139">
        <v>13800</v>
      </c>
      <c r="U77" s="160"/>
      <c r="W77" s="138">
        <v>39</v>
      </c>
      <c r="X77" s="138">
        <v>-2</v>
      </c>
      <c r="Y77" s="139">
        <v>879</v>
      </c>
      <c r="Z77" s="138">
        <v>1310</v>
      </c>
      <c r="AC77" s="139">
        <v>-431</v>
      </c>
      <c r="AF77" s="139">
        <v>970</v>
      </c>
      <c r="AG77" s="139">
        <v>539</v>
      </c>
      <c r="AH77" s="139">
        <v>157</v>
      </c>
      <c r="AI77" s="139">
        <v>879</v>
      </c>
      <c r="AJ77" s="176"/>
      <c r="AK77" s="138">
        <v>-39</v>
      </c>
      <c r="AL77" s="151">
        <v>-291</v>
      </c>
      <c r="AM77" s="151">
        <v>-39</v>
      </c>
      <c r="AN77" s="146">
        <v>10755</v>
      </c>
      <c r="AO77" s="139">
        <v>8795</v>
      </c>
      <c r="AP77" s="139">
        <v>1372</v>
      </c>
      <c r="AQ77" s="139">
        <v>588</v>
      </c>
      <c r="AR77" s="114">
        <v>18.5</v>
      </c>
      <c r="AS77" s="152"/>
      <c r="AT77" s="138">
        <v>204</v>
      </c>
      <c r="AU77" s="191">
        <v>4376</v>
      </c>
      <c r="AV77" s="146"/>
      <c r="AW77" s="150">
        <v>0.7326923076923076</v>
      </c>
      <c r="AX77" s="150">
        <v>48.1</v>
      </c>
      <c r="AY77" s="151">
        <v>-1667</v>
      </c>
      <c r="AZ77" s="152"/>
      <c r="BA77" s="152"/>
      <c r="BB77" s="152"/>
      <c r="BC77" s="150">
        <v>49.8</v>
      </c>
      <c r="BD77" s="151">
        <v>1840</v>
      </c>
      <c r="BE77" s="151">
        <v>79</v>
      </c>
      <c r="BF77" s="154">
        <v>8548.217550274223</v>
      </c>
      <c r="BG77" s="146">
        <v>13351</v>
      </c>
      <c r="BH77" s="139">
        <v>9495</v>
      </c>
      <c r="BI77" s="139">
        <v>34576</v>
      </c>
      <c r="BJ77" s="139">
        <v>-25081</v>
      </c>
      <c r="BK77" s="146">
        <v>10600</v>
      </c>
      <c r="BL77" s="146">
        <v>14566</v>
      </c>
      <c r="BM77" s="160"/>
      <c r="BO77" s="138">
        <v>196</v>
      </c>
      <c r="BP77" s="138">
        <v>1</v>
      </c>
      <c r="BQ77" s="139">
        <v>282</v>
      </c>
      <c r="BR77" s="138">
        <v>1350</v>
      </c>
      <c r="BU77" s="139">
        <v>-1068</v>
      </c>
      <c r="BX77" s="139">
        <v>914</v>
      </c>
      <c r="BY77" s="138">
        <v>-154</v>
      </c>
      <c r="BZ77" s="139">
        <v>4</v>
      </c>
      <c r="CA77" s="139">
        <v>282</v>
      </c>
      <c r="CB77" s="176"/>
      <c r="CC77" s="138">
        <v>-254</v>
      </c>
      <c r="CD77" s="151">
        <v>-421</v>
      </c>
      <c r="CE77" s="151">
        <v>-1925</v>
      </c>
      <c r="CF77" s="138">
        <v>10600</v>
      </c>
      <c r="CG77" s="139">
        <v>8978</v>
      </c>
      <c r="CH77" s="139">
        <v>956</v>
      </c>
      <c r="CI77" s="139">
        <v>666</v>
      </c>
      <c r="CJ77" s="114">
        <v>18.5</v>
      </c>
      <c r="CK77" s="152"/>
      <c r="CL77" s="138">
        <v>211</v>
      </c>
      <c r="CM77" s="190">
        <v>4343</v>
      </c>
      <c r="CN77" s="146"/>
      <c r="CO77" s="150">
        <v>1.5223880597014925</v>
      </c>
      <c r="CP77" s="150">
        <v>51.28646846346207</v>
      </c>
      <c r="CQ77" s="151">
        <v>-3029.70297029703</v>
      </c>
      <c r="CR77" s="152"/>
      <c r="CS77" s="152"/>
      <c r="CT77" s="152"/>
      <c r="CU77" s="150">
        <v>46.106300475232516</v>
      </c>
      <c r="CV77" s="151">
        <v>713.7923094635045</v>
      </c>
      <c r="CW77" s="151">
        <v>25.68322135463955</v>
      </c>
      <c r="CX77" s="154">
        <v>10144.13999539489</v>
      </c>
      <c r="CY77" s="146">
        <v>13018</v>
      </c>
      <c r="CZ77" s="139">
        <v>10053</v>
      </c>
      <c r="DA77" s="139">
        <v>35827</v>
      </c>
      <c r="DB77" s="139">
        <v>-25774</v>
      </c>
      <c r="DC77" s="146">
        <v>10949</v>
      </c>
      <c r="DD77" s="146">
        <v>14988</v>
      </c>
      <c r="DE77" s="160"/>
      <c r="DG77" s="138">
        <v>465</v>
      </c>
      <c r="DH77" s="138">
        <v>25</v>
      </c>
      <c r="DI77" s="139">
        <v>653</v>
      </c>
      <c r="DJ77" s="138">
        <v>1418</v>
      </c>
      <c r="DM77" s="139">
        <v>-765</v>
      </c>
      <c r="DP77" s="139">
        <v>1500</v>
      </c>
      <c r="DQ77" s="138">
        <v>735</v>
      </c>
      <c r="DR77" s="139">
        <v>739</v>
      </c>
      <c r="DS77" s="139">
        <v>653</v>
      </c>
      <c r="DT77" s="176"/>
      <c r="DU77" s="138">
        <v>-870</v>
      </c>
      <c r="DV77" s="151">
        <v>-408</v>
      </c>
      <c r="DW77" s="138">
        <v>-5933</v>
      </c>
      <c r="DX77" s="138">
        <v>10949</v>
      </c>
      <c r="DY77" s="146">
        <v>9108</v>
      </c>
      <c r="DZ77" s="196">
        <v>1166</v>
      </c>
      <c r="EA77" s="146">
        <v>675</v>
      </c>
      <c r="EB77" s="114">
        <v>18.5</v>
      </c>
      <c r="EC77" s="152"/>
      <c r="ED77" s="138">
        <v>225</v>
      </c>
      <c r="EE77" s="138">
        <v>17560</v>
      </c>
      <c r="EF77" s="138">
        <v>18304</v>
      </c>
      <c r="EG77" s="138">
        <v>20016</v>
      </c>
      <c r="EH77" s="138"/>
      <c r="EI77" s="138"/>
      <c r="EJ77" s="138"/>
      <c r="EK77" s="3">
        <v>-1540</v>
      </c>
      <c r="EL77" s="138">
        <v>29</v>
      </c>
      <c r="EM77" s="138">
        <v>592</v>
      </c>
      <c r="EN77" s="3">
        <v>-2302</v>
      </c>
      <c r="EO77" s="138">
        <v>87</v>
      </c>
      <c r="EP77" s="138">
        <v>8</v>
      </c>
      <c r="EQ77" s="3">
        <v>-7730</v>
      </c>
      <c r="ER77" s="138">
        <v>1040</v>
      </c>
      <c r="ES77" s="138">
        <v>104</v>
      </c>
      <c r="ET77" s="163">
        <v>2000</v>
      </c>
      <c r="EU77" s="163">
        <v>-1800</v>
      </c>
      <c r="EV77" s="138"/>
      <c r="EW77" s="138">
        <v>-100</v>
      </c>
      <c r="EX77" s="138"/>
      <c r="EY77" s="138">
        <v>1995</v>
      </c>
      <c r="EZ77" s="138">
        <v>13936</v>
      </c>
      <c r="FA77" s="138">
        <v>1417</v>
      </c>
      <c r="FB77" s="138">
        <v>12519</v>
      </c>
      <c r="FC77" s="138">
        <v>1882</v>
      </c>
      <c r="FD77" s="138">
        <v>13414</v>
      </c>
      <c r="FE77" s="138">
        <v>1007</v>
      </c>
      <c r="FF77" s="138">
        <v>12407</v>
      </c>
      <c r="FG77" s="138">
        <v>858</v>
      </c>
      <c r="FH77" s="138">
        <v>15003</v>
      </c>
      <c r="FI77" s="138">
        <v>600</v>
      </c>
      <c r="FJ77" s="138">
        <v>14403</v>
      </c>
      <c r="FK77" s="138">
        <v>850</v>
      </c>
      <c r="FL77" s="147">
        <v>4366</v>
      </c>
      <c r="FM77" s="147">
        <v>4387.340036563071</v>
      </c>
      <c r="FO77" s="181">
        <f t="shared" si="3"/>
        <v>492.3243243243243</v>
      </c>
      <c r="FP77" s="179">
        <f t="shared" si="5"/>
        <v>113.36042466597382</v>
      </c>
      <c r="FR77" s="184"/>
      <c r="FV77" s="184">
        <v>291</v>
      </c>
      <c r="FW77" s="2">
        <f t="shared" si="4"/>
        <v>-291</v>
      </c>
    </row>
    <row r="78" spans="1:179" ht="12.75">
      <c r="A78" s="82">
        <v>230</v>
      </c>
      <c r="B78" s="80" t="s">
        <v>76</v>
      </c>
      <c r="C78" s="191">
        <v>2599</v>
      </c>
      <c r="D78" s="146"/>
      <c r="E78" s="150">
        <v>37.31818181818182</v>
      </c>
      <c r="F78" s="150">
        <v>11.6</v>
      </c>
      <c r="G78" s="151">
        <v>-163</v>
      </c>
      <c r="H78" s="152"/>
      <c r="I78" s="152"/>
      <c r="J78" s="152"/>
      <c r="K78" s="150">
        <v>88.5</v>
      </c>
      <c r="L78" s="151">
        <v>142</v>
      </c>
      <c r="M78" s="151">
        <v>8</v>
      </c>
      <c r="N78" s="154">
        <v>6289.342054636399</v>
      </c>
      <c r="O78" s="146">
        <v>3926</v>
      </c>
      <c r="P78" s="139">
        <v>1167</v>
      </c>
      <c r="Q78" s="139">
        <v>14443</v>
      </c>
      <c r="R78" s="139">
        <v>-13276</v>
      </c>
      <c r="S78" s="146">
        <v>5769</v>
      </c>
      <c r="T78" s="139">
        <v>7889</v>
      </c>
      <c r="U78" s="160"/>
      <c r="W78" s="138">
        <v>11</v>
      </c>
      <c r="X78" s="138">
        <v>423</v>
      </c>
      <c r="Y78" s="139">
        <v>816</v>
      </c>
      <c r="Z78" s="138">
        <v>633</v>
      </c>
      <c r="AC78" s="139">
        <v>183</v>
      </c>
      <c r="AD78" s="139"/>
      <c r="AG78" s="139">
        <v>183</v>
      </c>
      <c r="AH78" s="139">
        <v>8703</v>
      </c>
      <c r="AI78" s="139">
        <v>787</v>
      </c>
      <c r="AJ78" s="176"/>
      <c r="AK78" s="139">
        <v>127</v>
      </c>
      <c r="AL78" s="151">
        <v>-17</v>
      </c>
      <c r="AM78" s="151">
        <v>-669</v>
      </c>
      <c r="AN78" s="146">
        <v>5769</v>
      </c>
      <c r="AO78" s="139">
        <v>4816</v>
      </c>
      <c r="AP78" s="139">
        <v>678</v>
      </c>
      <c r="AQ78" s="139">
        <v>275</v>
      </c>
      <c r="AR78" s="114">
        <v>19</v>
      </c>
      <c r="AS78" s="152"/>
      <c r="AT78" s="138">
        <v>118</v>
      </c>
      <c r="AU78" s="191">
        <v>2545</v>
      </c>
      <c r="AV78" s="146"/>
      <c r="AW78" s="150">
        <v>42.9375</v>
      </c>
      <c r="AX78" s="150">
        <v>15.4</v>
      </c>
      <c r="AY78" s="151">
        <v>-245</v>
      </c>
      <c r="AZ78" s="152"/>
      <c r="BA78" s="152"/>
      <c r="BB78" s="152"/>
      <c r="BC78" s="150">
        <v>84.8</v>
      </c>
      <c r="BD78" s="151">
        <v>446</v>
      </c>
      <c r="BE78" s="151">
        <v>25</v>
      </c>
      <c r="BF78" s="154">
        <v>6479.764243614931</v>
      </c>
      <c r="BG78" s="146">
        <v>3944</v>
      </c>
      <c r="BH78" s="139">
        <v>1226</v>
      </c>
      <c r="BI78" s="139">
        <v>15299</v>
      </c>
      <c r="BJ78" s="139">
        <v>-14073</v>
      </c>
      <c r="BK78" s="146">
        <v>6008</v>
      </c>
      <c r="BL78" s="146">
        <v>8317</v>
      </c>
      <c r="BM78" s="160"/>
      <c r="BO78" s="138">
        <v>-2</v>
      </c>
      <c r="BP78" s="138">
        <v>421</v>
      </c>
      <c r="BQ78" s="139">
        <v>671</v>
      </c>
      <c r="BR78" s="138">
        <v>784</v>
      </c>
      <c r="BU78" s="139">
        <v>-113</v>
      </c>
      <c r="BV78" s="139"/>
      <c r="BY78" s="138">
        <v>-113</v>
      </c>
      <c r="BZ78" s="139">
        <v>8593</v>
      </c>
      <c r="CA78" s="139">
        <v>659</v>
      </c>
      <c r="CB78" s="176"/>
      <c r="CC78" s="139">
        <v>289</v>
      </c>
      <c r="CD78" s="151">
        <v>0</v>
      </c>
      <c r="CE78" s="151">
        <v>-187</v>
      </c>
      <c r="CF78" s="138">
        <v>6008</v>
      </c>
      <c r="CG78" s="139">
        <v>5297</v>
      </c>
      <c r="CH78" s="139">
        <v>418</v>
      </c>
      <c r="CI78" s="139">
        <v>293</v>
      </c>
      <c r="CJ78" s="114">
        <v>19.75</v>
      </c>
      <c r="CK78" s="152"/>
      <c r="CL78" s="138">
        <v>77</v>
      </c>
      <c r="CM78" s="190">
        <v>2523</v>
      </c>
      <c r="CN78" s="146"/>
      <c r="CO78" s="150">
        <v>326.6666666666667</v>
      </c>
      <c r="CP78" s="150">
        <v>9.240015024414674</v>
      </c>
      <c r="CQ78" s="151">
        <v>78.08164883075703</v>
      </c>
      <c r="CR78" s="152"/>
      <c r="CS78" s="152"/>
      <c r="CT78" s="152"/>
      <c r="CU78" s="150">
        <v>90.03666302180486</v>
      </c>
      <c r="CV78" s="151">
        <v>377.72493063812925</v>
      </c>
      <c r="CW78" s="151">
        <v>21.940519742651695</v>
      </c>
      <c r="CX78" s="154">
        <v>6283.789139912802</v>
      </c>
      <c r="CY78" s="146">
        <v>3983</v>
      </c>
      <c r="CZ78" s="139">
        <v>1366</v>
      </c>
      <c r="DA78" s="139">
        <v>15410</v>
      </c>
      <c r="DB78" s="139">
        <v>-14044</v>
      </c>
      <c r="DC78" s="146">
        <v>6074</v>
      </c>
      <c r="DD78" s="146">
        <v>8534</v>
      </c>
      <c r="DE78" s="160"/>
      <c r="DG78" s="138">
        <v>6</v>
      </c>
      <c r="DH78" s="138">
        <v>407</v>
      </c>
      <c r="DI78" s="139">
        <v>977</v>
      </c>
      <c r="DJ78" s="138">
        <v>787</v>
      </c>
      <c r="DM78" s="139">
        <v>190</v>
      </c>
      <c r="DN78" s="139"/>
      <c r="DQ78" s="138">
        <v>190</v>
      </c>
      <c r="DR78" s="139">
        <v>8784</v>
      </c>
      <c r="DS78" s="139">
        <v>988</v>
      </c>
      <c r="DT78" s="176"/>
      <c r="DU78" s="139">
        <v>-80</v>
      </c>
      <c r="DV78" s="151">
        <v>0</v>
      </c>
      <c r="DW78" s="138">
        <v>775</v>
      </c>
      <c r="DX78" s="138">
        <v>6074</v>
      </c>
      <c r="DY78" s="146">
        <v>5326</v>
      </c>
      <c r="DZ78" s="196">
        <v>442</v>
      </c>
      <c r="EA78" s="146">
        <v>306</v>
      </c>
      <c r="EB78" s="114">
        <v>19.75</v>
      </c>
      <c r="EC78" s="152"/>
      <c r="ED78" s="138">
        <v>95</v>
      </c>
      <c r="EE78" s="138">
        <v>9281</v>
      </c>
      <c r="EF78" s="138">
        <v>10126</v>
      </c>
      <c r="EG78" s="138">
        <v>10139</v>
      </c>
      <c r="EH78" s="138"/>
      <c r="EI78" s="138"/>
      <c r="EJ78" s="138"/>
      <c r="EK78" s="3">
        <v>-1851</v>
      </c>
      <c r="EL78" s="138">
        <v>324</v>
      </c>
      <c r="EM78" s="138">
        <v>70</v>
      </c>
      <c r="EN78" s="3">
        <v>-1162</v>
      </c>
      <c r="EO78" s="138">
        <v>143</v>
      </c>
      <c r="EP78" s="138">
        <v>172</v>
      </c>
      <c r="EQ78" s="3">
        <v>-438</v>
      </c>
      <c r="ER78" s="138">
        <v>36</v>
      </c>
      <c r="ES78" s="138">
        <v>188</v>
      </c>
      <c r="ET78" s="163"/>
      <c r="EU78" s="163">
        <v>400</v>
      </c>
      <c r="EV78" s="138"/>
      <c r="EW78" s="138">
        <v>250</v>
      </c>
      <c r="EX78" s="138"/>
      <c r="EY78" s="138">
        <v>-150</v>
      </c>
      <c r="EZ78" s="138">
        <v>400</v>
      </c>
      <c r="FA78" s="138">
        <v>0</v>
      </c>
      <c r="FB78" s="138">
        <v>400</v>
      </c>
      <c r="FC78" s="138">
        <v>246</v>
      </c>
      <c r="FD78" s="138">
        <v>650</v>
      </c>
      <c r="FE78" s="138">
        <v>0</v>
      </c>
      <c r="FF78" s="138">
        <v>650</v>
      </c>
      <c r="FG78" s="138">
        <v>246</v>
      </c>
      <c r="FH78" s="138">
        <v>500</v>
      </c>
      <c r="FI78" s="138">
        <v>0</v>
      </c>
      <c r="FJ78" s="138">
        <v>500</v>
      </c>
      <c r="FK78" s="138">
        <v>246</v>
      </c>
      <c r="FL78" s="147">
        <v>2382</v>
      </c>
      <c r="FM78" s="147">
        <v>2562.278978388998</v>
      </c>
      <c r="FO78" s="181">
        <f t="shared" si="3"/>
        <v>269.67088607594934</v>
      </c>
      <c r="FP78" s="179">
        <f t="shared" si="5"/>
        <v>106.88501231706275</v>
      </c>
      <c r="FR78" s="184"/>
      <c r="FV78" s="184">
        <v>17</v>
      </c>
      <c r="FW78" s="2">
        <f t="shared" si="4"/>
        <v>-17</v>
      </c>
    </row>
    <row r="79" spans="1:179" ht="12.75">
      <c r="A79" s="82">
        <v>231</v>
      </c>
      <c r="B79" s="80" t="s">
        <v>77</v>
      </c>
      <c r="C79" s="191">
        <v>1404</v>
      </c>
      <c r="D79" s="146"/>
      <c r="E79" s="150">
        <v>-18.440677966101696</v>
      </c>
      <c r="F79" s="150">
        <v>53.9</v>
      </c>
      <c r="G79" s="151">
        <v>-2526</v>
      </c>
      <c r="H79" s="152"/>
      <c r="I79" s="152"/>
      <c r="J79" s="152"/>
      <c r="K79" s="150">
        <v>76.9</v>
      </c>
      <c r="L79" s="151">
        <v>126</v>
      </c>
      <c r="M79" s="151">
        <v>5</v>
      </c>
      <c r="N79" s="154">
        <v>8408.83190883191</v>
      </c>
      <c r="O79" s="146">
        <v>4162</v>
      </c>
      <c r="P79" s="139">
        <v>3071</v>
      </c>
      <c r="Q79" s="139">
        <v>9412</v>
      </c>
      <c r="R79" s="139">
        <v>-6341</v>
      </c>
      <c r="S79" s="146">
        <v>5048</v>
      </c>
      <c r="T79" s="139">
        <v>186</v>
      </c>
      <c r="U79" s="160"/>
      <c r="W79" s="138">
        <v>-52</v>
      </c>
      <c r="X79" s="138">
        <v>12</v>
      </c>
      <c r="Y79" s="139">
        <v>-1147</v>
      </c>
      <c r="Z79" s="138">
        <v>979</v>
      </c>
      <c r="AA79" s="138">
        <v>33</v>
      </c>
      <c r="AC79" s="139">
        <v>-2093</v>
      </c>
      <c r="AD79" s="139"/>
      <c r="AE79" s="139"/>
      <c r="AG79" s="139">
        <v>-2093</v>
      </c>
      <c r="AH79" s="139">
        <v>10473</v>
      </c>
      <c r="AI79" s="139">
        <v>-1147</v>
      </c>
      <c r="AJ79" s="176"/>
      <c r="AK79" s="139">
        <v>183</v>
      </c>
      <c r="AL79" s="151">
        <v>0</v>
      </c>
      <c r="AM79" s="151">
        <v>-2843</v>
      </c>
      <c r="AN79" s="146">
        <v>5048</v>
      </c>
      <c r="AO79" s="139">
        <v>4111</v>
      </c>
      <c r="AP79" s="139">
        <v>683</v>
      </c>
      <c r="AQ79" s="139">
        <v>254</v>
      </c>
      <c r="AR79" s="114">
        <v>20</v>
      </c>
      <c r="AS79" s="152"/>
      <c r="AT79" s="138">
        <v>319</v>
      </c>
      <c r="AU79" s="191">
        <v>1382</v>
      </c>
      <c r="AV79" s="146"/>
      <c r="AW79" s="150">
        <v>0.23880597014925373</v>
      </c>
      <c r="AX79" s="150">
        <v>44.8</v>
      </c>
      <c r="AY79" s="151">
        <v>-2645</v>
      </c>
      <c r="AZ79" s="152"/>
      <c r="BA79" s="152"/>
      <c r="BB79" s="152"/>
      <c r="BC79" s="150">
        <v>76.1</v>
      </c>
      <c r="BD79" s="151">
        <v>46</v>
      </c>
      <c r="BE79" s="151">
        <v>2</v>
      </c>
      <c r="BF79" s="154">
        <v>7625.180897250361</v>
      </c>
      <c r="BG79" s="146">
        <v>4291</v>
      </c>
      <c r="BH79" s="139">
        <v>2933</v>
      </c>
      <c r="BI79" s="139">
        <v>9939</v>
      </c>
      <c r="BJ79" s="139">
        <v>-7006</v>
      </c>
      <c r="BK79" s="146">
        <v>5271</v>
      </c>
      <c r="BL79" s="146">
        <v>1740</v>
      </c>
      <c r="BM79" s="160"/>
      <c r="BO79" s="138">
        <v>-67</v>
      </c>
      <c r="BP79" s="138">
        <v>11</v>
      </c>
      <c r="BQ79" s="139">
        <v>-51</v>
      </c>
      <c r="BR79" s="138">
        <v>949</v>
      </c>
      <c r="BS79" s="138">
        <v>269</v>
      </c>
      <c r="BU79" s="139">
        <v>-731</v>
      </c>
      <c r="BV79" s="139"/>
      <c r="BW79" s="139"/>
      <c r="BY79" s="138">
        <v>-731</v>
      </c>
      <c r="BZ79" s="139">
        <v>9740</v>
      </c>
      <c r="CA79" s="139">
        <v>-51</v>
      </c>
      <c r="CB79" s="176"/>
      <c r="CC79" s="139">
        <v>11</v>
      </c>
      <c r="CD79" s="151">
        <v>0</v>
      </c>
      <c r="CE79" s="151">
        <v>-105</v>
      </c>
      <c r="CF79" s="138">
        <v>5271</v>
      </c>
      <c r="CG79" s="139">
        <v>4459</v>
      </c>
      <c r="CH79" s="139">
        <v>490</v>
      </c>
      <c r="CI79" s="139">
        <v>322</v>
      </c>
      <c r="CJ79" s="114">
        <v>20</v>
      </c>
      <c r="CK79" s="152"/>
      <c r="CL79" s="138">
        <v>263</v>
      </c>
      <c r="CM79" s="190">
        <v>1350</v>
      </c>
      <c r="CN79" s="146"/>
      <c r="CO79" s="150">
        <v>27</v>
      </c>
      <c r="CP79" s="150">
        <v>38.87435735546135</v>
      </c>
      <c r="CQ79" s="151">
        <v>-2290.37037037037</v>
      </c>
      <c r="CR79" s="152"/>
      <c r="CS79" s="152"/>
      <c r="CT79" s="152"/>
      <c r="CU79" s="150">
        <v>77.0465152865908</v>
      </c>
      <c r="CV79" s="151">
        <v>434.81481481481484</v>
      </c>
      <c r="CW79" s="151">
        <v>19.820074005550417</v>
      </c>
      <c r="CX79" s="154">
        <v>8007.407407407408</v>
      </c>
      <c r="CY79" s="146">
        <v>4381</v>
      </c>
      <c r="CZ79" s="139">
        <v>3062</v>
      </c>
      <c r="DA79" s="139">
        <v>9951</v>
      </c>
      <c r="DB79" s="139">
        <v>-6889</v>
      </c>
      <c r="DC79" s="146">
        <v>6570</v>
      </c>
      <c r="DD79" s="146">
        <v>1455</v>
      </c>
      <c r="DE79" s="160"/>
      <c r="DG79" s="138">
        <v>-43</v>
      </c>
      <c r="DH79" s="138">
        <v>25</v>
      </c>
      <c r="DI79" s="139">
        <v>1118</v>
      </c>
      <c r="DJ79" s="138">
        <v>918</v>
      </c>
      <c r="DK79" s="138">
        <v>41</v>
      </c>
      <c r="DM79" s="139">
        <v>241</v>
      </c>
      <c r="DN79" s="139"/>
      <c r="DO79" s="139"/>
      <c r="DQ79" s="138">
        <v>241</v>
      </c>
      <c r="DR79" s="139">
        <v>9982</v>
      </c>
      <c r="DS79" s="139">
        <v>1118</v>
      </c>
      <c r="DT79" s="176"/>
      <c r="DU79" s="139">
        <v>106</v>
      </c>
      <c r="DV79" s="151">
        <v>0</v>
      </c>
      <c r="DW79" s="138">
        <v>572</v>
      </c>
      <c r="DX79" s="138">
        <v>6570</v>
      </c>
      <c r="DY79" s="146">
        <v>4903</v>
      </c>
      <c r="DZ79" s="196">
        <v>1106</v>
      </c>
      <c r="EA79" s="146">
        <v>561</v>
      </c>
      <c r="EB79" s="114">
        <v>21</v>
      </c>
      <c r="EC79" s="152"/>
      <c r="ED79" s="138">
        <v>8</v>
      </c>
      <c r="EE79" s="138">
        <v>4080</v>
      </c>
      <c r="EF79" s="138">
        <v>4440</v>
      </c>
      <c r="EG79" s="138">
        <v>4431</v>
      </c>
      <c r="EH79" s="138"/>
      <c r="EI79" s="138">
        <v>800</v>
      </c>
      <c r="EJ79" s="138"/>
      <c r="EK79" s="3">
        <v>-2335</v>
      </c>
      <c r="EL79" s="138">
        <v>487</v>
      </c>
      <c r="EM79" s="138">
        <v>152</v>
      </c>
      <c r="EN79" s="3">
        <v>-532</v>
      </c>
      <c r="EO79" s="138">
        <v>170</v>
      </c>
      <c r="EP79" s="138">
        <v>308</v>
      </c>
      <c r="EQ79" s="3">
        <v>-816</v>
      </c>
      <c r="ER79" s="138">
        <v>157</v>
      </c>
      <c r="ES79" s="138">
        <v>113</v>
      </c>
      <c r="ET79" s="163"/>
      <c r="EU79" s="163"/>
      <c r="EV79" s="138"/>
      <c r="EW79" s="138"/>
      <c r="EX79" s="138"/>
      <c r="EY79" s="138"/>
      <c r="EZ79" s="138">
        <v>3068</v>
      </c>
      <c r="FA79" s="138">
        <v>3068</v>
      </c>
      <c r="FB79" s="138">
        <v>0</v>
      </c>
      <c r="FC79" s="138">
        <v>0</v>
      </c>
      <c r="FD79" s="138">
        <v>3068</v>
      </c>
      <c r="FE79" s="138">
        <v>3068</v>
      </c>
      <c r="FF79" s="138">
        <v>0</v>
      </c>
      <c r="FG79" s="138">
        <v>0</v>
      </c>
      <c r="FH79" s="138">
        <v>3068</v>
      </c>
      <c r="FI79" s="138">
        <v>3068</v>
      </c>
      <c r="FJ79" s="138">
        <v>0</v>
      </c>
      <c r="FK79" s="138">
        <v>0</v>
      </c>
      <c r="FL79" s="147">
        <v>2995</v>
      </c>
      <c r="FM79" s="147">
        <v>2871.2011577424023</v>
      </c>
      <c r="FO79" s="181">
        <f t="shared" si="3"/>
        <v>233.47619047619048</v>
      </c>
      <c r="FP79" s="179">
        <f t="shared" si="5"/>
        <v>172.9453262786596</v>
      </c>
      <c r="FR79" s="184"/>
      <c r="FV79" s="184">
        <v>0</v>
      </c>
      <c r="FW79" s="2">
        <f t="shared" si="4"/>
        <v>0</v>
      </c>
    </row>
    <row r="80" spans="1:179" ht="12.75">
      <c r="A80" s="82">
        <v>232</v>
      </c>
      <c r="B80" s="80" t="s">
        <v>78</v>
      </c>
      <c r="C80" s="191">
        <v>14191</v>
      </c>
      <c r="D80" s="146"/>
      <c r="E80" s="150">
        <v>0.27211860353897654</v>
      </c>
      <c r="F80" s="150">
        <v>49.2</v>
      </c>
      <c r="G80" s="151">
        <v>-2983</v>
      </c>
      <c r="H80" s="152"/>
      <c r="I80" s="152"/>
      <c r="J80" s="152"/>
      <c r="K80" s="150">
        <v>39.2</v>
      </c>
      <c r="L80" s="151">
        <v>524</v>
      </c>
      <c r="M80" s="151">
        <v>20</v>
      </c>
      <c r="N80" s="154">
        <v>9370.657458952857</v>
      </c>
      <c r="O80" s="146">
        <v>23378</v>
      </c>
      <c r="P80" s="139">
        <v>44389</v>
      </c>
      <c r="Q80" s="139">
        <v>118883</v>
      </c>
      <c r="R80" s="139">
        <v>-74494</v>
      </c>
      <c r="S80" s="146">
        <v>40033</v>
      </c>
      <c r="T80" s="139">
        <v>34943</v>
      </c>
      <c r="U80" s="160"/>
      <c r="W80" s="138">
        <v>-988</v>
      </c>
      <c r="X80" s="138">
        <v>590</v>
      </c>
      <c r="Y80" s="139">
        <v>84</v>
      </c>
      <c r="Z80" s="138">
        <v>3718</v>
      </c>
      <c r="AC80" s="139">
        <v>-3634</v>
      </c>
      <c r="AD80" s="139">
        <v>57</v>
      </c>
      <c r="AG80" s="139">
        <v>-3577</v>
      </c>
      <c r="AH80" s="139">
        <v>-7312</v>
      </c>
      <c r="AI80" s="139">
        <v>-427</v>
      </c>
      <c r="AJ80" s="176"/>
      <c r="AK80" s="138">
        <v>-1409</v>
      </c>
      <c r="AL80" s="151">
        <v>-3128</v>
      </c>
      <c r="AM80" s="151">
        <v>-6593</v>
      </c>
      <c r="AN80" s="146">
        <v>40033</v>
      </c>
      <c r="AO80" s="139">
        <v>33971</v>
      </c>
      <c r="AP80" s="139">
        <v>4225</v>
      </c>
      <c r="AQ80" s="139">
        <v>1837</v>
      </c>
      <c r="AR80" s="114">
        <v>21</v>
      </c>
      <c r="AS80" s="152"/>
      <c r="AT80" s="138">
        <v>284</v>
      </c>
      <c r="AU80" s="191">
        <v>14167</v>
      </c>
      <c r="AV80" s="146"/>
      <c r="AW80" s="150">
        <v>0.1763355592654424</v>
      </c>
      <c r="AX80" s="150">
        <v>54</v>
      </c>
      <c r="AY80" s="151">
        <v>-3475</v>
      </c>
      <c r="AZ80" s="152"/>
      <c r="BA80" s="152"/>
      <c r="BB80" s="152"/>
      <c r="BC80" s="150">
        <v>33.5</v>
      </c>
      <c r="BD80" s="151">
        <v>633</v>
      </c>
      <c r="BE80" s="151">
        <v>24</v>
      </c>
      <c r="BF80" s="154">
        <v>9637.749700007058</v>
      </c>
      <c r="BG80" s="146">
        <v>24328</v>
      </c>
      <c r="BH80" s="139">
        <v>45173</v>
      </c>
      <c r="BI80" s="139">
        <v>123012</v>
      </c>
      <c r="BJ80" s="139">
        <v>-77839</v>
      </c>
      <c r="BK80" s="146">
        <v>40610</v>
      </c>
      <c r="BL80" s="146">
        <v>36196</v>
      </c>
      <c r="BM80" s="160"/>
      <c r="BO80" s="138">
        <v>-1079</v>
      </c>
      <c r="BP80" s="138">
        <v>1837</v>
      </c>
      <c r="BQ80" s="139">
        <v>-275</v>
      </c>
      <c r="BR80" s="138">
        <v>4423</v>
      </c>
      <c r="BU80" s="139">
        <v>-4698</v>
      </c>
      <c r="BV80" s="139">
        <v>55</v>
      </c>
      <c r="BY80" s="138">
        <v>-4643</v>
      </c>
      <c r="BZ80" s="139">
        <v>-11955</v>
      </c>
      <c r="CA80" s="139">
        <v>-642</v>
      </c>
      <c r="CB80" s="176"/>
      <c r="CC80" s="138">
        <v>1163</v>
      </c>
      <c r="CD80" s="151">
        <v>-3672</v>
      </c>
      <c r="CE80" s="151">
        <v>-7160</v>
      </c>
      <c r="CF80" s="138">
        <v>40610</v>
      </c>
      <c r="CG80" s="139">
        <v>35314</v>
      </c>
      <c r="CH80" s="139">
        <v>3032</v>
      </c>
      <c r="CI80" s="139">
        <v>2264</v>
      </c>
      <c r="CJ80" s="114">
        <v>21</v>
      </c>
      <c r="CK80" s="152"/>
      <c r="CL80" s="138">
        <v>252</v>
      </c>
      <c r="CM80" s="190">
        <v>14081</v>
      </c>
      <c r="CN80" s="146"/>
      <c r="CO80" s="150">
        <v>1.3315602836879432</v>
      </c>
      <c r="CP80" s="150">
        <v>57.96963871183899</v>
      </c>
      <c r="CQ80" s="151">
        <v>-3874.0856473261842</v>
      </c>
      <c r="CR80" s="152"/>
      <c r="CS80" s="152"/>
      <c r="CT80" s="152"/>
      <c r="CU80" s="150">
        <v>31.79249261914804</v>
      </c>
      <c r="CV80" s="151">
        <v>736.0272707904269</v>
      </c>
      <c r="CW80" s="151">
        <v>26.95611897330654</v>
      </c>
      <c r="CX80" s="154">
        <v>9966.195582700091</v>
      </c>
      <c r="CY80" s="146">
        <v>24423</v>
      </c>
      <c r="CZ80" s="139">
        <v>47158</v>
      </c>
      <c r="DA80" s="139">
        <v>125443</v>
      </c>
      <c r="DB80" s="139">
        <v>-78285</v>
      </c>
      <c r="DC80" s="146">
        <v>43307</v>
      </c>
      <c r="DD80" s="146">
        <v>35087</v>
      </c>
      <c r="DE80" s="160"/>
      <c r="DG80" s="138">
        <v>-1055</v>
      </c>
      <c r="DH80" s="138">
        <v>5875</v>
      </c>
      <c r="DI80" s="139">
        <v>4929</v>
      </c>
      <c r="DJ80" s="138">
        <v>4248</v>
      </c>
      <c r="DM80" s="139">
        <v>681</v>
      </c>
      <c r="DN80" s="139">
        <v>52</v>
      </c>
      <c r="DQ80" s="138">
        <v>733</v>
      </c>
      <c r="DR80" s="139">
        <v>-11222</v>
      </c>
      <c r="DS80" s="139">
        <v>4316</v>
      </c>
      <c r="DT80" s="176"/>
      <c r="DU80" s="138">
        <v>-106</v>
      </c>
      <c r="DV80" s="151">
        <v>-3433</v>
      </c>
      <c r="DW80" s="138">
        <v>-5430</v>
      </c>
      <c r="DX80" s="138">
        <v>43307</v>
      </c>
      <c r="DY80" s="146">
        <v>37492</v>
      </c>
      <c r="DZ80" s="196">
        <v>2996</v>
      </c>
      <c r="EA80" s="146">
        <v>2819</v>
      </c>
      <c r="EB80" s="114">
        <v>21.5</v>
      </c>
      <c r="EC80" s="152"/>
      <c r="ED80" s="138">
        <v>112</v>
      </c>
      <c r="EE80" s="138">
        <v>87266</v>
      </c>
      <c r="EF80" s="138">
        <v>90980</v>
      </c>
      <c r="EG80" s="138">
        <v>93896</v>
      </c>
      <c r="EH80" s="138">
        <v>1200</v>
      </c>
      <c r="EI80" s="138">
        <v>1500</v>
      </c>
      <c r="EJ80" s="138"/>
      <c r="EK80" s="3">
        <v>-9350</v>
      </c>
      <c r="EL80" s="138">
        <v>1713</v>
      </c>
      <c r="EM80" s="138">
        <v>1471</v>
      </c>
      <c r="EN80" s="3">
        <v>-8820</v>
      </c>
      <c r="EO80" s="138"/>
      <c r="EP80" s="138">
        <v>2302</v>
      </c>
      <c r="EQ80" s="3">
        <v>-10566</v>
      </c>
      <c r="ER80" s="138">
        <v>12</v>
      </c>
      <c r="ES80" s="138">
        <v>808</v>
      </c>
      <c r="ET80" s="163">
        <v>10600</v>
      </c>
      <c r="EU80" s="163">
        <v>600</v>
      </c>
      <c r="EV80" s="138">
        <v>8000</v>
      </c>
      <c r="EW80" s="138">
        <v>3150</v>
      </c>
      <c r="EX80" s="138">
        <v>15600</v>
      </c>
      <c r="EY80" s="138">
        <v>-3950</v>
      </c>
      <c r="EZ80" s="138">
        <v>44979</v>
      </c>
      <c r="FA80" s="138">
        <v>32579</v>
      </c>
      <c r="FB80" s="138">
        <v>12400</v>
      </c>
      <c r="FC80" s="138">
        <v>1778</v>
      </c>
      <c r="FD80" s="138">
        <v>52456</v>
      </c>
      <c r="FE80" s="138">
        <v>37063</v>
      </c>
      <c r="FF80" s="138">
        <v>15393</v>
      </c>
      <c r="FG80" s="138">
        <v>1527</v>
      </c>
      <c r="FH80" s="138">
        <v>60673</v>
      </c>
      <c r="FI80" s="138">
        <v>48259</v>
      </c>
      <c r="FJ80" s="138">
        <v>12414</v>
      </c>
      <c r="FK80" s="138">
        <v>1450</v>
      </c>
      <c r="FL80" s="147">
        <v>5290</v>
      </c>
      <c r="FM80" s="147">
        <v>5817.604291663725</v>
      </c>
      <c r="FO80" s="181">
        <f t="shared" si="3"/>
        <v>1743.8139534883721</v>
      </c>
      <c r="FP80" s="179">
        <f t="shared" si="5"/>
        <v>123.84162726286289</v>
      </c>
      <c r="FR80" s="184"/>
      <c r="FV80" s="184">
        <v>3128</v>
      </c>
      <c r="FW80" s="2">
        <f t="shared" si="4"/>
        <v>-3128</v>
      </c>
    </row>
    <row r="81" spans="1:179" ht="12.75">
      <c r="A81" s="82">
        <v>233</v>
      </c>
      <c r="B81" s="80" t="s">
        <v>79</v>
      </c>
      <c r="C81" s="191">
        <v>17265</v>
      </c>
      <c r="D81" s="146"/>
      <c r="E81" s="150">
        <v>1.4664203434036078</v>
      </c>
      <c r="F81" s="150">
        <v>31.2</v>
      </c>
      <c r="G81" s="151">
        <v>-856</v>
      </c>
      <c r="H81" s="152"/>
      <c r="I81" s="152"/>
      <c r="J81" s="152"/>
      <c r="K81" s="150">
        <v>61.1</v>
      </c>
      <c r="L81" s="151">
        <v>835</v>
      </c>
      <c r="M81" s="151">
        <v>48</v>
      </c>
      <c r="N81" s="154">
        <v>6338.777874312192</v>
      </c>
      <c r="O81" s="146">
        <v>27354</v>
      </c>
      <c r="P81" s="139">
        <v>14861</v>
      </c>
      <c r="Q81" s="139">
        <v>99083</v>
      </c>
      <c r="R81" s="139">
        <v>-84222</v>
      </c>
      <c r="S81" s="146">
        <v>47835</v>
      </c>
      <c r="T81" s="139">
        <v>42721</v>
      </c>
      <c r="U81" s="160"/>
      <c r="W81" s="138">
        <v>-333</v>
      </c>
      <c r="X81" s="138">
        <v>201</v>
      </c>
      <c r="Y81" s="139">
        <v>6202</v>
      </c>
      <c r="Z81" s="138">
        <v>3038</v>
      </c>
      <c r="AA81" s="139"/>
      <c r="AC81" s="139">
        <v>3164</v>
      </c>
      <c r="AD81" s="138">
        <v>-235</v>
      </c>
      <c r="AE81" s="138">
        <v>-2162</v>
      </c>
      <c r="AF81" s="138">
        <v>527</v>
      </c>
      <c r="AG81" s="139">
        <v>1294</v>
      </c>
      <c r="AH81" s="139">
        <v>6443</v>
      </c>
      <c r="AI81" s="139">
        <v>5931</v>
      </c>
      <c r="AJ81" s="176"/>
      <c r="AK81" s="138">
        <v>-164</v>
      </c>
      <c r="AL81" s="151">
        <v>-4056</v>
      </c>
      <c r="AM81" s="151">
        <v>2564</v>
      </c>
      <c r="AN81" s="146">
        <v>47835</v>
      </c>
      <c r="AO81" s="139">
        <v>41732</v>
      </c>
      <c r="AP81" s="139">
        <v>3522</v>
      </c>
      <c r="AQ81" s="139">
        <v>2581</v>
      </c>
      <c r="AR81" s="114">
        <v>19.75</v>
      </c>
      <c r="AS81" s="152"/>
      <c r="AT81" s="138">
        <v>92</v>
      </c>
      <c r="AU81" s="191">
        <v>17202</v>
      </c>
      <c r="AV81" s="146"/>
      <c r="AW81" s="150">
        <v>0.7177100302536653</v>
      </c>
      <c r="AX81" s="150">
        <v>31.1</v>
      </c>
      <c r="AY81" s="151">
        <v>-935</v>
      </c>
      <c r="AZ81" s="152"/>
      <c r="BA81" s="152"/>
      <c r="BB81" s="152"/>
      <c r="BC81" s="150">
        <v>61</v>
      </c>
      <c r="BD81" s="151">
        <v>780</v>
      </c>
      <c r="BE81" s="151">
        <v>43</v>
      </c>
      <c r="BF81" s="154">
        <v>6555.749331473085</v>
      </c>
      <c r="BG81" s="146">
        <v>28188</v>
      </c>
      <c r="BH81" s="139">
        <v>11988</v>
      </c>
      <c r="BI81" s="139">
        <v>102159</v>
      </c>
      <c r="BJ81" s="139">
        <v>-90171</v>
      </c>
      <c r="BK81" s="146">
        <v>49451</v>
      </c>
      <c r="BL81" s="146">
        <v>43554</v>
      </c>
      <c r="BM81" s="160"/>
      <c r="BO81" s="138">
        <v>-302</v>
      </c>
      <c r="BP81" s="138">
        <v>98</v>
      </c>
      <c r="BQ81" s="139">
        <v>2630</v>
      </c>
      <c r="BR81" s="138">
        <v>3194</v>
      </c>
      <c r="BS81" s="139"/>
      <c r="BU81" s="139">
        <v>-564</v>
      </c>
      <c r="BV81" s="138">
        <v>-157</v>
      </c>
      <c r="BX81" s="138">
        <v>591</v>
      </c>
      <c r="BY81" s="138">
        <v>-130</v>
      </c>
      <c r="BZ81" s="139">
        <v>6313</v>
      </c>
      <c r="CA81" s="139">
        <v>2454</v>
      </c>
      <c r="CB81" s="176"/>
      <c r="CC81" s="138">
        <v>526</v>
      </c>
      <c r="CD81" s="151">
        <v>-3843</v>
      </c>
      <c r="CE81" s="151">
        <v>-2755</v>
      </c>
      <c r="CF81" s="138">
        <v>49451</v>
      </c>
      <c r="CG81" s="139">
        <v>44265</v>
      </c>
      <c r="CH81" s="139">
        <v>2572</v>
      </c>
      <c r="CI81" s="139">
        <v>2614</v>
      </c>
      <c r="CJ81" s="114">
        <v>20.25</v>
      </c>
      <c r="CK81" s="152"/>
      <c r="CL81" s="138">
        <v>151</v>
      </c>
      <c r="CM81" s="190">
        <v>17065</v>
      </c>
      <c r="CN81" s="146"/>
      <c r="CO81" s="150">
        <v>0.7707194899817851</v>
      </c>
      <c r="CP81" s="150">
        <v>35.95435004371903</v>
      </c>
      <c r="CQ81" s="151">
        <v>-1266.100205098154</v>
      </c>
      <c r="CR81" s="152"/>
      <c r="CS81" s="152"/>
      <c r="CT81" s="152"/>
      <c r="CU81" s="150">
        <v>56.2330253814858</v>
      </c>
      <c r="CV81" s="151">
        <v>793.8470553765015</v>
      </c>
      <c r="CW81" s="151">
        <v>41.09996841440304</v>
      </c>
      <c r="CX81" s="154">
        <v>7049.985350131849</v>
      </c>
      <c r="CY81" s="146">
        <v>29217</v>
      </c>
      <c r="CZ81" s="139">
        <v>12755</v>
      </c>
      <c r="DA81" s="139">
        <v>106572</v>
      </c>
      <c r="DB81" s="139">
        <v>-93817</v>
      </c>
      <c r="DC81" s="146">
        <v>53162</v>
      </c>
      <c r="DD81" s="146">
        <v>43875</v>
      </c>
      <c r="DE81" s="160"/>
      <c r="DG81" s="138">
        <v>-251</v>
      </c>
      <c r="DH81" s="138">
        <v>77</v>
      </c>
      <c r="DI81" s="139">
        <v>3046</v>
      </c>
      <c r="DJ81" s="138">
        <v>3489</v>
      </c>
      <c r="DK81" s="139"/>
      <c r="DM81" s="139">
        <v>-443</v>
      </c>
      <c r="DN81" s="138">
        <v>-436</v>
      </c>
      <c r="DO81" s="138">
        <v>380</v>
      </c>
      <c r="DP81" s="138">
        <v>345</v>
      </c>
      <c r="DQ81" s="138">
        <v>-154</v>
      </c>
      <c r="DR81" s="139">
        <v>6159</v>
      </c>
      <c r="DS81" s="139">
        <v>3004</v>
      </c>
      <c r="DT81" s="176"/>
      <c r="DU81" s="138">
        <v>-1149</v>
      </c>
      <c r="DV81" s="151">
        <v>-4053</v>
      </c>
      <c r="DW81" s="138">
        <v>-5722</v>
      </c>
      <c r="DX81" s="138">
        <v>53162</v>
      </c>
      <c r="DY81" s="146">
        <v>47123</v>
      </c>
      <c r="DZ81" s="196">
        <v>3047</v>
      </c>
      <c r="EA81" s="146">
        <v>2992</v>
      </c>
      <c r="EB81" s="114">
        <v>20.75</v>
      </c>
      <c r="EC81" s="152"/>
      <c r="ED81" s="138">
        <v>215</v>
      </c>
      <c r="EE81" s="138">
        <v>64856</v>
      </c>
      <c r="EF81" s="138">
        <v>67328</v>
      </c>
      <c r="EG81" s="138">
        <v>70659</v>
      </c>
      <c r="EH81" s="138"/>
      <c r="EI81" s="138"/>
      <c r="EJ81" s="138"/>
      <c r="EK81" s="3">
        <v>-5603</v>
      </c>
      <c r="EL81" s="138">
        <v>216</v>
      </c>
      <c r="EM81" s="138">
        <v>2020</v>
      </c>
      <c r="EN81" s="3">
        <v>-6091</v>
      </c>
      <c r="EO81" s="138">
        <v>236</v>
      </c>
      <c r="EP81" s="138">
        <v>646</v>
      </c>
      <c r="EQ81" s="3">
        <v>-9156</v>
      </c>
      <c r="ER81" s="138">
        <v>267</v>
      </c>
      <c r="ES81" s="138">
        <v>163</v>
      </c>
      <c r="ET81" s="163">
        <v>3500</v>
      </c>
      <c r="EU81" s="163">
        <v>-81</v>
      </c>
      <c r="EV81" s="138">
        <v>5000</v>
      </c>
      <c r="EW81" s="138">
        <v>-248</v>
      </c>
      <c r="EX81" s="138">
        <v>10000</v>
      </c>
      <c r="EY81" s="138">
        <v>210</v>
      </c>
      <c r="EZ81" s="138">
        <v>23455</v>
      </c>
      <c r="FA81" s="138">
        <v>19398</v>
      </c>
      <c r="FB81" s="138">
        <v>4057</v>
      </c>
      <c r="FC81" s="138">
        <v>4335</v>
      </c>
      <c r="FD81" s="138">
        <v>24363</v>
      </c>
      <c r="FE81" s="138">
        <v>20555</v>
      </c>
      <c r="FF81" s="138">
        <v>3808</v>
      </c>
      <c r="FG81" s="138">
        <v>2917</v>
      </c>
      <c r="FH81" s="138">
        <v>30520</v>
      </c>
      <c r="FI81" s="138">
        <v>26503</v>
      </c>
      <c r="FJ81" s="138">
        <v>4017</v>
      </c>
      <c r="FK81" s="138">
        <v>2896</v>
      </c>
      <c r="FL81" s="147">
        <v>3882</v>
      </c>
      <c r="FM81" s="147">
        <v>3968.201371933496</v>
      </c>
      <c r="FO81" s="181">
        <f t="shared" si="3"/>
        <v>2270.987951807229</v>
      </c>
      <c r="FP81" s="179">
        <f t="shared" si="5"/>
        <v>133.0786962676372</v>
      </c>
      <c r="FR81" s="184"/>
      <c r="FV81" s="184">
        <v>4056</v>
      </c>
      <c r="FW81" s="2">
        <f t="shared" si="4"/>
        <v>-4056</v>
      </c>
    </row>
    <row r="82" spans="1:179" ht="12.75">
      <c r="A82" s="82">
        <v>235</v>
      </c>
      <c r="B82" s="80" t="s">
        <v>80</v>
      </c>
      <c r="C82" s="191">
        <v>8807</v>
      </c>
      <c r="D82" s="146"/>
      <c r="F82" s="150">
        <v>11.2</v>
      </c>
      <c r="G82" s="151">
        <v>165</v>
      </c>
      <c r="H82" s="152"/>
      <c r="I82" s="152"/>
      <c r="J82" s="152"/>
      <c r="K82" s="150">
        <v>92</v>
      </c>
      <c r="L82" s="151">
        <v>609</v>
      </c>
      <c r="M82" s="151">
        <v>28</v>
      </c>
      <c r="N82" s="154">
        <v>7876.1212671738385</v>
      </c>
      <c r="O82" s="146">
        <v>30875</v>
      </c>
      <c r="P82" s="139">
        <v>12761</v>
      </c>
      <c r="Q82" s="139">
        <v>60457</v>
      </c>
      <c r="R82" s="139">
        <v>-47696</v>
      </c>
      <c r="S82" s="146">
        <v>52330</v>
      </c>
      <c r="T82" s="139">
        <v>3029</v>
      </c>
      <c r="U82" s="160"/>
      <c r="W82" s="138">
        <v>333</v>
      </c>
      <c r="X82" s="138">
        <v>38</v>
      </c>
      <c r="Y82" s="139">
        <v>8034</v>
      </c>
      <c r="Z82" s="138">
        <v>5890</v>
      </c>
      <c r="AA82" s="138">
        <v>462</v>
      </c>
      <c r="AC82" s="139">
        <v>2606</v>
      </c>
      <c r="AG82" s="139">
        <v>2606</v>
      </c>
      <c r="AH82" s="139">
        <v>38594</v>
      </c>
      <c r="AI82" s="139">
        <v>4571</v>
      </c>
      <c r="AJ82" s="176"/>
      <c r="AK82" s="138">
        <v>864</v>
      </c>
      <c r="AL82" s="151">
        <v>0</v>
      </c>
      <c r="AM82" s="151">
        <v>-267</v>
      </c>
      <c r="AN82" s="146">
        <v>52330</v>
      </c>
      <c r="AO82" s="139">
        <v>48347</v>
      </c>
      <c r="AP82" s="139">
        <v>1278</v>
      </c>
      <c r="AQ82" s="139">
        <v>2705</v>
      </c>
      <c r="AR82" s="114">
        <v>16.5</v>
      </c>
      <c r="AS82" s="152"/>
      <c r="AT82" s="138">
        <v>7</v>
      </c>
      <c r="AU82" s="191">
        <v>8910</v>
      </c>
      <c r="AV82" s="146"/>
      <c r="AX82" s="150">
        <v>12.8</v>
      </c>
      <c r="AY82" s="151">
        <v>-112</v>
      </c>
      <c r="AZ82" s="152"/>
      <c r="BA82" s="152"/>
      <c r="BB82" s="152"/>
      <c r="BC82" s="150">
        <v>91.1</v>
      </c>
      <c r="BD82" s="151">
        <v>536</v>
      </c>
      <c r="BE82" s="151">
        <v>24</v>
      </c>
      <c r="BF82" s="154">
        <v>8214.478114478114</v>
      </c>
      <c r="BG82" s="146">
        <v>32528</v>
      </c>
      <c r="BH82" s="139">
        <v>10894</v>
      </c>
      <c r="BI82" s="139">
        <v>62730</v>
      </c>
      <c r="BJ82" s="139">
        <v>-51836</v>
      </c>
      <c r="BK82" s="146">
        <v>54174</v>
      </c>
      <c r="BL82" s="146">
        <v>3750</v>
      </c>
      <c r="BM82" s="160"/>
      <c r="BO82" s="138">
        <v>306</v>
      </c>
      <c r="BP82" s="138">
        <v>103</v>
      </c>
      <c r="BQ82" s="139">
        <v>6497</v>
      </c>
      <c r="BR82" s="138">
        <v>6308</v>
      </c>
      <c r="BS82" s="138">
        <v>1564</v>
      </c>
      <c r="BU82" s="139">
        <v>1753</v>
      </c>
      <c r="BY82" s="138">
        <v>1753</v>
      </c>
      <c r="BZ82" s="139">
        <v>40347</v>
      </c>
      <c r="CA82" s="139">
        <v>6994</v>
      </c>
      <c r="CB82" s="176"/>
      <c r="CC82" s="138">
        <v>708</v>
      </c>
      <c r="CD82" s="151">
        <v>0</v>
      </c>
      <c r="CE82" s="151">
        <v>-2202</v>
      </c>
      <c r="CF82" s="138">
        <v>54174</v>
      </c>
      <c r="CG82" s="139">
        <v>50512</v>
      </c>
      <c r="CH82" s="139">
        <v>922</v>
      </c>
      <c r="CI82" s="139">
        <v>2740</v>
      </c>
      <c r="CJ82" s="114">
        <v>16.5</v>
      </c>
      <c r="CK82" s="152"/>
      <c r="CL82" s="138">
        <v>6</v>
      </c>
      <c r="CM82" s="190">
        <v>9101</v>
      </c>
      <c r="CN82" s="146"/>
      <c r="CP82" s="150">
        <v>13.496473906911142</v>
      </c>
      <c r="CQ82" s="151">
        <v>-141.41303153499615</v>
      </c>
      <c r="CR82" s="152"/>
      <c r="CS82" s="152"/>
      <c r="CT82" s="152"/>
      <c r="CU82" s="150">
        <v>90.54849491732645</v>
      </c>
      <c r="CV82" s="151">
        <v>618.9429732996374</v>
      </c>
      <c r="CW82" s="151">
        <v>28.753863366198168</v>
      </c>
      <c r="CX82" s="154">
        <v>7856.828919898911</v>
      </c>
      <c r="CY82" s="146">
        <v>33849</v>
      </c>
      <c r="CZ82" s="139">
        <v>11814</v>
      </c>
      <c r="DA82" s="139">
        <v>65258</v>
      </c>
      <c r="DB82" s="139">
        <v>-53444</v>
      </c>
      <c r="DC82" s="146">
        <v>55974</v>
      </c>
      <c r="DD82" s="146">
        <v>3112</v>
      </c>
      <c r="DE82" s="160"/>
      <c r="DG82" s="138">
        <v>295</v>
      </c>
      <c r="DH82" s="138">
        <v>140</v>
      </c>
      <c r="DI82" s="139">
        <v>6077</v>
      </c>
      <c r="DJ82" s="138">
        <v>7062</v>
      </c>
      <c r="DM82" s="139">
        <v>-985</v>
      </c>
      <c r="DQ82" s="138">
        <v>-985</v>
      </c>
      <c r="DR82" s="139">
        <v>39362</v>
      </c>
      <c r="DS82" s="139">
        <v>5387</v>
      </c>
      <c r="DT82" s="176"/>
      <c r="DU82" s="138">
        <v>347</v>
      </c>
      <c r="DV82" s="151">
        <v>0</v>
      </c>
      <c r="DW82" s="138">
        <v>-280</v>
      </c>
      <c r="DX82" s="138">
        <v>55974</v>
      </c>
      <c r="DY82" s="146">
        <v>52278</v>
      </c>
      <c r="DZ82" s="196">
        <v>906</v>
      </c>
      <c r="EA82" s="146">
        <v>2790</v>
      </c>
      <c r="EB82" s="114">
        <v>16.5</v>
      </c>
      <c r="EC82" s="152"/>
      <c r="ED82" s="138">
        <v>24</v>
      </c>
      <c r="EE82" s="138">
        <v>21060</v>
      </c>
      <c r="EF82" s="138">
        <v>21347</v>
      </c>
      <c r="EG82" s="138">
        <v>22129</v>
      </c>
      <c r="EH82" s="138"/>
      <c r="EI82" s="138"/>
      <c r="EJ82" s="138"/>
      <c r="EK82" s="3">
        <v>-8825</v>
      </c>
      <c r="EL82" s="138"/>
      <c r="EM82" s="138">
        <v>3987</v>
      </c>
      <c r="EN82" s="3">
        <v>-10459</v>
      </c>
      <c r="EO82" s="138">
        <v>135</v>
      </c>
      <c r="EP82" s="138">
        <v>1129</v>
      </c>
      <c r="EQ82" s="3">
        <v>-6243</v>
      </c>
      <c r="ER82" s="138">
        <v>132</v>
      </c>
      <c r="ES82" s="138">
        <v>444</v>
      </c>
      <c r="ET82" s="163"/>
      <c r="EU82" s="163"/>
      <c r="EV82" s="138"/>
      <c r="EW82" s="138">
        <v>1000</v>
      </c>
      <c r="EX82" s="138"/>
      <c r="EY82" s="138"/>
      <c r="EZ82" s="138">
        <v>0</v>
      </c>
      <c r="FA82" s="138">
        <v>0</v>
      </c>
      <c r="FB82" s="138">
        <v>0</v>
      </c>
      <c r="FC82" s="138">
        <v>6034</v>
      </c>
      <c r="FD82" s="138">
        <v>1000</v>
      </c>
      <c r="FE82" s="138">
        <v>0</v>
      </c>
      <c r="FF82" s="138">
        <v>1000</v>
      </c>
      <c r="FG82" s="138">
        <v>6034</v>
      </c>
      <c r="FH82" s="138">
        <v>1000</v>
      </c>
      <c r="FI82" s="138">
        <v>0</v>
      </c>
      <c r="FJ82" s="138">
        <v>1000</v>
      </c>
      <c r="FK82" s="138">
        <v>6034</v>
      </c>
      <c r="FL82" s="147">
        <v>2180</v>
      </c>
      <c r="FM82" s="147">
        <v>2246.2401795735127</v>
      </c>
      <c r="FO82" s="181">
        <f t="shared" si="3"/>
        <v>3168.3636363636365</v>
      </c>
      <c r="FP82" s="179">
        <f t="shared" si="5"/>
        <v>348.1335717353737</v>
      </c>
      <c r="FR82" s="184"/>
      <c r="FV82" s="184">
        <v>0</v>
      </c>
      <c r="FW82" s="2">
        <f t="shared" si="4"/>
        <v>0</v>
      </c>
    </row>
    <row r="83" spans="1:179" ht="12.75">
      <c r="A83" s="82">
        <v>236</v>
      </c>
      <c r="B83" s="80" t="s">
        <v>81</v>
      </c>
      <c r="C83" s="191">
        <v>4280</v>
      </c>
      <c r="D83" s="146"/>
      <c r="E83" s="150">
        <v>1.1784406070120357</v>
      </c>
      <c r="F83" s="150">
        <v>60.4</v>
      </c>
      <c r="G83" s="151">
        <v>-3334</v>
      </c>
      <c r="H83" s="152"/>
      <c r="I83" s="152"/>
      <c r="J83" s="152"/>
      <c r="K83" s="150">
        <v>34.1</v>
      </c>
      <c r="L83" s="151">
        <v>748</v>
      </c>
      <c r="M83" s="151">
        <v>35</v>
      </c>
      <c r="N83" s="154">
        <v>7833.411214953271</v>
      </c>
      <c r="O83" s="146">
        <v>11300</v>
      </c>
      <c r="P83" s="139">
        <v>8348</v>
      </c>
      <c r="Q83" s="139">
        <v>28826</v>
      </c>
      <c r="R83" s="139">
        <v>-20478</v>
      </c>
      <c r="S83" s="146">
        <v>12760</v>
      </c>
      <c r="T83" s="139">
        <v>9925</v>
      </c>
      <c r="U83" s="160"/>
      <c r="W83" s="138">
        <v>-383</v>
      </c>
      <c r="X83" s="138">
        <v>20</v>
      </c>
      <c r="Y83" s="139">
        <v>1844</v>
      </c>
      <c r="Z83" s="138">
        <v>921</v>
      </c>
      <c r="AC83" s="139">
        <v>923</v>
      </c>
      <c r="AG83" s="139">
        <v>923</v>
      </c>
      <c r="AH83" s="139">
        <v>178</v>
      </c>
      <c r="AI83" s="139">
        <v>1643</v>
      </c>
      <c r="AJ83" s="176"/>
      <c r="AK83" s="139">
        <v>-390</v>
      </c>
      <c r="AL83" s="151">
        <v>-1503</v>
      </c>
      <c r="AM83" s="151">
        <v>-482</v>
      </c>
      <c r="AN83" s="146">
        <v>12760</v>
      </c>
      <c r="AO83" s="139">
        <v>11464</v>
      </c>
      <c r="AP83" s="139">
        <v>671</v>
      </c>
      <c r="AQ83" s="139">
        <v>625</v>
      </c>
      <c r="AR83" s="114">
        <v>20.5</v>
      </c>
      <c r="AS83" s="152"/>
      <c r="AT83" s="138">
        <v>63</v>
      </c>
      <c r="AU83" s="191">
        <v>4287</v>
      </c>
      <c r="AV83" s="146"/>
      <c r="AW83" s="150">
        <v>-0.2966921119592875</v>
      </c>
      <c r="AX83" s="150">
        <v>62.6</v>
      </c>
      <c r="AY83" s="151">
        <v>-3924</v>
      </c>
      <c r="AZ83" s="152"/>
      <c r="BA83" s="152"/>
      <c r="BB83" s="152"/>
      <c r="BC83" s="150">
        <v>29</v>
      </c>
      <c r="BD83" s="151">
        <v>172</v>
      </c>
      <c r="BE83" s="151">
        <v>8</v>
      </c>
      <c r="BF83" s="154">
        <v>8083.974807557733</v>
      </c>
      <c r="BG83" s="146">
        <v>11830</v>
      </c>
      <c r="BH83" s="139">
        <v>8793</v>
      </c>
      <c r="BI83" s="139">
        <v>30804</v>
      </c>
      <c r="BJ83" s="139">
        <v>-22011</v>
      </c>
      <c r="BK83" s="146">
        <v>12204</v>
      </c>
      <c r="BL83" s="146">
        <v>9195</v>
      </c>
      <c r="BM83" s="160"/>
      <c r="BO83" s="138">
        <v>-373</v>
      </c>
      <c r="BP83" s="138">
        <v>8</v>
      </c>
      <c r="BQ83" s="139">
        <v>-977</v>
      </c>
      <c r="BR83" s="138">
        <v>1062</v>
      </c>
      <c r="BU83" s="139">
        <v>-2039</v>
      </c>
      <c r="BY83" s="138">
        <v>-2039</v>
      </c>
      <c r="BZ83" s="139">
        <v>-1861</v>
      </c>
      <c r="CA83" s="139">
        <v>-1037</v>
      </c>
      <c r="CB83" s="176"/>
      <c r="CC83" s="139">
        <v>-61</v>
      </c>
      <c r="CD83" s="151">
        <v>-1571</v>
      </c>
      <c r="CE83" s="151">
        <v>-2619</v>
      </c>
      <c r="CF83" s="138">
        <v>12204</v>
      </c>
      <c r="CG83" s="139">
        <v>10987</v>
      </c>
      <c r="CH83" s="139">
        <v>585</v>
      </c>
      <c r="CI83" s="139">
        <v>632</v>
      </c>
      <c r="CJ83" s="114">
        <v>20.5</v>
      </c>
      <c r="CK83" s="152"/>
      <c r="CL83" s="138">
        <v>309</v>
      </c>
      <c r="CM83" s="190">
        <v>4288</v>
      </c>
      <c r="CN83" s="146"/>
      <c r="CO83" s="150">
        <v>1.0084175084175084</v>
      </c>
      <c r="CP83" s="150">
        <v>66.65297092288243</v>
      </c>
      <c r="CQ83" s="151">
        <v>-4388.059701492537</v>
      </c>
      <c r="CR83" s="152"/>
      <c r="CS83" s="152"/>
      <c r="CT83" s="152"/>
      <c r="CU83" s="150">
        <v>26.99173722329899</v>
      </c>
      <c r="CV83" s="151">
        <v>237.40671641791045</v>
      </c>
      <c r="CW83" s="151">
        <v>10.436186945287046</v>
      </c>
      <c r="CX83" s="154">
        <v>8303.171641791045</v>
      </c>
      <c r="CY83" s="146">
        <v>11294</v>
      </c>
      <c r="CZ83" s="139">
        <v>7893</v>
      </c>
      <c r="DA83" s="139">
        <v>29855</v>
      </c>
      <c r="DB83" s="139">
        <v>-21962</v>
      </c>
      <c r="DC83" s="146">
        <v>13772</v>
      </c>
      <c r="DD83" s="146">
        <v>9975</v>
      </c>
      <c r="DE83" s="160"/>
      <c r="DG83" s="138">
        <v>-342</v>
      </c>
      <c r="DH83" s="138">
        <v>9</v>
      </c>
      <c r="DI83" s="139">
        <v>1452</v>
      </c>
      <c r="DJ83" s="138">
        <v>1338</v>
      </c>
      <c r="DM83" s="139">
        <v>114</v>
      </c>
      <c r="DQ83" s="138">
        <v>114</v>
      </c>
      <c r="DR83" s="139">
        <v>-1747</v>
      </c>
      <c r="DS83" s="139">
        <v>1431</v>
      </c>
      <c r="DT83" s="176"/>
      <c r="DU83" s="139">
        <v>71</v>
      </c>
      <c r="DV83" s="151">
        <v>-1437</v>
      </c>
      <c r="DW83" s="138">
        <v>-1737</v>
      </c>
      <c r="DX83" s="138">
        <v>13772</v>
      </c>
      <c r="DY83" s="146">
        <v>12224</v>
      </c>
      <c r="DZ83" s="196">
        <v>882</v>
      </c>
      <c r="EA83" s="146">
        <v>666</v>
      </c>
      <c r="EB83" s="114">
        <v>21</v>
      </c>
      <c r="EC83" s="152"/>
      <c r="ED83" s="138">
        <v>118</v>
      </c>
      <c r="EE83" s="138">
        <v>15130</v>
      </c>
      <c r="EF83" s="138">
        <v>16191</v>
      </c>
      <c r="EG83" s="138">
        <v>16046</v>
      </c>
      <c r="EH83" s="138">
        <v>650</v>
      </c>
      <c r="EI83" s="138"/>
      <c r="EJ83" s="138">
        <v>555</v>
      </c>
      <c r="EK83" s="3">
        <v>-2766</v>
      </c>
      <c r="EL83" s="138">
        <v>85</v>
      </c>
      <c r="EM83" s="138">
        <v>556</v>
      </c>
      <c r="EN83" s="3">
        <v>-1867</v>
      </c>
      <c r="EO83" s="138">
        <v>179</v>
      </c>
      <c r="EP83" s="138">
        <v>106</v>
      </c>
      <c r="EQ83" s="3">
        <v>-3816</v>
      </c>
      <c r="ER83" s="138">
        <v>521</v>
      </c>
      <c r="ES83" s="138">
        <v>127</v>
      </c>
      <c r="ET83" s="163">
        <v>2000</v>
      </c>
      <c r="EU83" s="163"/>
      <c r="EV83" s="138"/>
      <c r="EW83" s="138">
        <v>600</v>
      </c>
      <c r="EX83" s="138">
        <v>5000</v>
      </c>
      <c r="EY83" s="138">
        <v>-600</v>
      </c>
      <c r="EZ83" s="138">
        <v>15610</v>
      </c>
      <c r="FA83" s="138">
        <v>14038</v>
      </c>
      <c r="FB83" s="138">
        <v>1572</v>
      </c>
      <c r="FC83" s="138">
        <v>0</v>
      </c>
      <c r="FD83" s="138">
        <v>14638</v>
      </c>
      <c r="FE83" s="138">
        <v>12602</v>
      </c>
      <c r="FF83" s="138">
        <v>2036</v>
      </c>
      <c r="FG83" s="138">
        <v>0</v>
      </c>
      <c r="FH83" s="138">
        <v>17601</v>
      </c>
      <c r="FI83" s="138">
        <v>16031</v>
      </c>
      <c r="FJ83" s="138">
        <v>1570</v>
      </c>
      <c r="FK83" s="138">
        <v>0</v>
      </c>
      <c r="FL83" s="147">
        <v>6787</v>
      </c>
      <c r="FM83" s="147">
        <v>6808.957312806158</v>
      </c>
      <c r="FO83" s="181">
        <f t="shared" si="3"/>
        <v>582.0952380952381</v>
      </c>
      <c r="FP83" s="179">
        <f t="shared" si="5"/>
        <v>135.7498223169865</v>
      </c>
      <c r="FR83" s="184"/>
      <c r="FV83" s="184">
        <v>1503</v>
      </c>
      <c r="FW83" s="2">
        <f t="shared" si="4"/>
        <v>-1503</v>
      </c>
    </row>
    <row r="84" spans="1:179" ht="12.75">
      <c r="A84" s="82">
        <v>239</v>
      </c>
      <c r="B84" s="80" t="s">
        <v>82</v>
      </c>
      <c r="C84" s="191">
        <v>2524</v>
      </c>
      <c r="D84" s="146"/>
      <c r="E84" s="150">
        <v>-0.17757009345794392</v>
      </c>
      <c r="F84" s="150">
        <v>33</v>
      </c>
      <c r="G84" s="151">
        <v>-1669</v>
      </c>
      <c r="H84" s="152"/>
      <c r="I84" s="152"/>
      <c r="J84" s="152"/>
      <c r="K84" s="150">
        <v>60.7</v>
      </c>
      <c r="L84" s="151">
        <v>61</v>
      </c>
      <c r="M84" s="151">
        <v>3</v>
      </c>
      <c r="N84" s="154">
        <v>6930.665610142631</v>
      </c>
      <c r="O84" s="146">
        <v>5713</v>
      </c>
      <c r="P84" s="139">
        <v>2250</v>
      </c>
      <c r="Q84" s="139">
        <v>16118</v>
      </c>
      <c r="R84" s="139">
        <v>-13868</v>
      </c>
      <c r="S84" s="146">
        <v>6681</v>
      </c>
      <c r="T84" s="139">
        <v>7025</v>
      </c>
      <c r="U84" s="160"/>
      <c r="W84" s="138">
        <v>-46</v>
      </c>
      <c r="X84" s="138">
        <v>143</v>
      </c>
      <c r="Y84" s="139">
        <v>-65</v>
      </c>
      <c r="Z84" s="138">
        <v>472</v>
      </c>
      <c r="AA84" s="139"/>
      <c r="AB84" s="139"/>
      <c r="AC84" s="139">
        <v>-537</v>
      </c>
      <c r="AG84" s="139">
        <v>-537</v>
      </c>
      <c r="AH84" s="139">
        <v>600</v>
      </c>
      <c r="AI84" s="139">
        <v>-65</v>
      </c>
      <c r="AJ84" s="176"/>
      <c r="AK84" s="139">
        <v>280</v>
      </c>
      <c r="AL84" s="151">
        <v>-61</v>
      </c>
      <c r="AM84" s="151">
        <v>-590</v>
      </c>
      <c r="AN84" s="146">
        <v>6681</v>
      </c>
      <c r="AO84" s="139">
        <v>5503</v>
      </c>
      <c r="AP84" s="139">
        <v>782</v>
      </c>
      <c r="AQ84" s="139">
        <v>396</v>
      </c>
      <c r="AR84" s="114">
        <v>18.5</v>
      </c>
      <c r="AS84" s="152"/>
      <c r="AT84" s="138">
        <v>294</v>
      </c>
      <c r="AU84" s="191">
        <v>2476</v>
      </c>
      <c r="AV84" s="146"/>
      <c r="AW84" s="150">
        <v>1.1071428571428572</v>
      </c>
      <c r="AX84" s="150">
        <v>40</v>
      </c>
      <c r="AY84" s="151">
        <v>-1935</v>
      </c>
      <c r="AZ84" s="152"/>
      <c r="BA84" s="152"/>
      <c r="BB84" s="152"/>
      <c r="BC84" s="150">
        <v>53.4</v>
      </c>
      <c r="BD84" s="151">
        <v>161</v>
      </c>
      <c r="BE84" s="151">
        <v>8</v>
      </c>
      <c r="BF84" s="154">
        <v>7128.0290791599355</v>
      </c>
      <c r="BG84" s="146">
        <v>6593</v>
      </c>
      <c r="BH84" s="139">
        <v>2944</v>
      </c>
      <c r="BI84" s="139">
        <v>16812</v>
      </c>
      <c r="BJ84" s="139">
        <v>-13868</v>
      </c>
      <c r="BK84" s="146">
        <v>6591</v>
      </c>
      <c r="BL84" s="146">
        <v>7124</v>
      </c>
      <c r="BM84" s="160"/>
      <c r="BO84" s="138">
        <v>-28</v>
      </c>
      <c r="BP84" s="138">
        <v>184</v>
      </c>
      <c r="BQ84" s="139">
        <v>3</v>
      </c>
      <c r="BR84" s="138">
        <v>516</v>
      </c>
      <c r="BS84" s="139"/>
      <c r="BT84" s="139"/>
      <c r="BU84" s="139">
        <v>-513</v>
      </c>
      <c r="BY84" s="138">
        <v>-513</v>
      </c>
      <c r="BZ84" s="139">
        <v>87</v>
      </c>
      <c r="CA84" s="139">
        <v>3</v>
      </c>
      <c r="CB84" s="176"/>
      <c r="CC84" s="139">
        <v>-577</v>
      </c>
      <c r="CD84" s="151">
        <v>0</v>
      </c>
      <c r="CE84" s="151">
        <v>-689</v>
      </c>
      <c r="CF84" s="138">
        <v>6591</v>
      </c>
      <c r="CG84" s="139">
        <v>5734</v>
      </c>
      <c r="CH84" s="139">
        <v>453</v>
      </c>
      <c r="CI84" s="139">
        <v>404</v>
      </c>
      <c r="CJ84" s="114">
        <v>19.5</v>
      </c>
      <c r="CK84" s="152"/>
      <c r="CL84" s="138">
        <v>240</v>
      </c>
      <c r="CM84" s="190">
        <v>2427</v>
      </c>
      <c r="CN84" s="146"/>
      <c r="CO84" s="150">
        <v>2.826923076923077</v>
      </c>
      <c r="CP84" s="150">
        <v>39.005518575411045</v>
      </c>
      <c r="CQ84" s="151">
        <v>-2114.54470539761</v>
      </c>
      <c r="CR84" s="152"/>
      <c r="CS84" s="152"/>
      <c r="CT84" s="152"/>
      <c r="CU84" s="150">
        <v>52.394483332178254</v>
      </c>
      <c r="CV84" s="151">
        <v>48.61969509682736</v>
      </c>
      <c r="CW84" s="151">
        <v>2.3180839612486546</v>
      </c>
      <c r="CX84" s="154">
        <v>7655.541821178409</v>
      </c>
      <c r="CY84" s="146">
        <v>6677</v>
      </c>
      <c r="CZ84" s="139">
        <v>3168</v>
      </c>
      <c r="DA84" s="139">
        <v>17342</v>
      </c>
      <c r="DB84" s="139">
        <v>-14174</v>
      </c>
      <c r="DC84" s="146">
        <v>6907</v>
      </c>
      <c r="DD84" s="146">
        <v>7502</v>
      </c>
      <c r="DE84" s="160"/>
      <c r="DG84" s="138">
        <v>-26</v>
      </c>
      <c r="DH84" s="138">
        <v>206</v>
      </c>
      <c r="DI84" s="139">
        <v>415</v>
      </c>
      <c r="DJ84" s="138">
        <v>523</v>
      </c>
      <c r="DK84" s="139"/>
      <c r="DL84" s="139"/>
      <c r="DM84" s="139">
        <v>-108</v>
      </c>
      <c r="DQ84" s="138">
        <v>-108</v>
      </c>
      <c r="DR84" s="139">
        <v>-22</v>
      </c>
      <c r="DS84" s="139">
        <v>433</v>
      </c>
      <c r="DT84" s="176"/>
      <c r="DU84" s="139">
        <v>-122</v>
      </c>
      <c r="DV84" s="151">
        <v>-130</v>
      </c>
      <c r="DW84" s="138">
        <v>-451</v>
      </c>
      <c r="DX84" s="138">
        <v>6907</v>
      </c>
      <c r="DY84" s="146">
        <v>5799</v>
      </c>
      <c r="DZ84" s="196">
        <v>694</v>
      </c>
      <c r="EA84" s="146">
        <v>414</v>
      </c>
      <c r="EB84" s="114">
        <v>19.5</v>
      </c>
      <c r="EC84" s="152"/>
      <c r="ED84" s="138">
        <v>220</v>
      </c>
      <c r="EE84" s="138">
        <v>8513</v>
      </c>
      <c r="EF84" s="138">
        <v>8058</v>
      </c>
      <c r="EG84" s="138">
        <v>8545</v>
      </c>
      <c r="EH84" s="138"/>
      <c r="EI84" s="138"/>
      <c r="EJ84" s="138"/>
      <c r="EK84" s="3">
        <v>-568</v>
      </c>
      <c r="EL84" s="138"/>
      <c r="EM84" s="138">
        <v>43</v>
      </c>
      <c r="EN84" s="3">
        <v>-807</v>
      </c>
      <c r="EO84" s="138">
        <v>100</v>
      </c>
      <c r="EP84" s="138">
        <v>15</v>
      </c>
      <c r="EQ84" s="3">
        <v>-1079</v>
      </c>
      <c r="ER84" s="138">
        <v>108</v>
      </c>
      <c r="ES84" s="138">
        <v>87</v>
      </c>
      <c r="ET84" s="163"/>
      <c r="EU84" s="163">
        <v>1136</v>
      </c>
      <c r="EV84" s="138">
        <v>870</v>
      </c>
      <c r="EW84" s="138">
        <v>69</v>
      </c>
      <c r="EX84" s="138"/>
      <c r="EY84" s="138">
        <v>600</v>
      </c>
      <c r="EZ84" s="138">
        <v>3697</v>
      </c>
      <c r="FA84" s="138">
        <v>387</v>
      </c>
      <c r="FB84" s="138">
        <v>3310</v>
      </c>
      <c r="FC84" s="138">
        <v>699</v>
      </c>
      <c r="FD84" s="138">
        <v>4636</v>
      </c>
      <c r="FE84" s="138">
        <v>1258</v>
      </c>
      <c r="FF84" s="138">
        <v>3378</v>
      </c>
      <c r="FG84" s="138">
        <v>599</v>
      </c>
      <c r="FH84" s="138">
        <v>5106</v>
      </c>
      <c r="FI84" s="138">
        <v>1127</v>
      </c>
      <c r="FJ84" s="138">
        <v>3979</v>
      </c>
      <c r="FK84" s="138">
        <v>503</v>
      </c>
      <c r="FL84" s="147">
        <v>4995</v>
      </c>
      <c r="FM84" s="147">
        <v>5823.101777059775</v>
      </c>
      <c r="FO84" s="181">
        <f t="shared" si="3"/>
        <v>297.38461538461536</v>
      </c>
      <c r="FP84" s="179">
        <f t="shared" si="5"/>
        <v>122.53177395328198</v>
      </c>
      <c r="FR84" s="184"/>
      <c r="FV84" s="184">
        <v>61</v>
      </c>
      <c r="FW84" s="2">
        <f t="shared" si="4"/>
        <v>-61</v>
      </c>
    </row>
    <row r="85" spans="1:179" ht="12.75">
      <c r="A85" s="82">
        <v>240</v>
      </c>
      <c r="B85" s="80" t="s">
        <v>83</v>
      </c>
      <c r="C85" s="191">
        <v>22399</v>
      </c>
      <c r="D85" s="146"/>
      <c r="E85" s="150">
        <v>0.5936956370468304</v>
      </c>
      <c r="F85" s="150">
        <v>65.2</v>
      </c>
      <c r="G85" s="151">
        <v>-3892</v>
      </c>
      <c r="H85" s="152"/>
      <c r="I85" s="152"/>
      <c r="J85" s="152"/>
      <c r="K85" s="150">
        <v>42.1</v>
      </c>
      <c r="L85" s="151">
        <v>95</v>
      </c>
      <c r="M85" s="151">
        <v>4</v>
      </c>
      <c r="N85" s="154">
        <v>8672.306799410688</v>
      </c>
      <c r="O85" s="146">
        <v>65672</v>
      </c>
      <c r="P85" s="139">
        <v>28156</v>
      </c>
      <c r="Q85" s="139">
        <v>140138</v>
      </c>
      <c r="R85" s="139">
        <v>-111982</v>
      </c>
      <c r="S85" s="146">
        <v>77909</v>
      </c>
      <c r="T85" s="139">
        <v>40447</v>
      </c>
      <c r="U85" s="160"/>
      <c r="W85" s="138">
        <v>-3958</v>
      </c>
      <c r="X85" s="138">
        <v>1304</v>
      </c>
      <c r="Y85" s="139">
        <v>3720</v>
      </c>
      <c r="Z85" s="138">
        <v>5220</v>
      </c>
      <c r="AA85" s="139">
        <v>20285</v>
      </c>
      <c r="AC85" s="139">
        <v>18785</v>
      </c>
      <c r="AF85" s="139">
        <v>13</v>
      </c>
      <c r="AG85" s="139">
        <v>18798</v>
      </c>
      <c r="AH85" s="139">
        <v>8542</v>
      </c>
      <c r="AI85" s="139">
        <v>1188</v>
      </c>
      <c r="AJ85" s="176"/>
      <c r="AK85" s="139">
        <v>520</v>
      </c>
      <c r="AL85" s="151">
        <v>-9559</v>
      </c>
      <c r="AM85" s="151">
        <v>1028</v>
      </c>
      <c r="AN85" s="146">
        <v>77909</v>
      </c>
      <c r="AO85" s="139">
        <v>68727</v>
      </c>
      <c r="AP85" s="139">
        <v>3298</v>
      </c>
      <c r="AQ85" s="139">
        <v>5884</v>
      </c>
      <c r="AR85" s="114">
        <v>20.75</v>
      </c>
      <c r="AS85" s="152"/>
      <c r="AT85" s="138">
        <v>221</v>
      </c>
      <c r="AU85" s="191">
        <v>22257</v>
      </c>
      <c r="AV85" s="146"/>
      <c r="AW85" s="150">
        <v>0.6409967724986865</v>
      </c>
      <c r="AX85" s="150">
        <v>63.9</v>
      </c>
      <c r="AY85" s="151">
        <v>-3841</v>
      </c>
      <c r="AZ85" s="152"/>
      <c r="BA85" s="152"/>
      <c r="BB85" s="152"/>
      <c r="BC85" s="150">
        <v>43.2</v>
      </c>
      <c r="BD85" s="151">
        <v>76</v>
      </c>
      <c r="BE85" s="151">
        <v>4</v>
      </c>
      <c r="BF85" s="154">
        <v>7054.185200161747</v>
      </c>
      <c r="BG85" s="146">
        <v>64588</v>
      </c>
      <c r="BH85" s="139">
        <v>22483</v>
      </c>
      <c r="BI85" s="139">
        <v>139783</v>
      </c>
      <c r="BJ85" s="139">
        <v>-117300</v>
      </c>
      <c r="BK85" s="146">
        <v>80798</v>
      </c>
      <c r="BL85" s="146">
        <v>43287</v>
      </c>
      <c r="BM85" s="160"/>
      <c r="BO85" s="138">
        <v>-3137</v>
      </c>
      <c r="BP85" s="138">
        <v>1389</v>
      </c>
      <c r="BQ85" s="139">
        <v>5037</v>
      </c>
      <c r="BR85" s="138">
        <v>4287</v>
      </c>
      <c r="BS85" s="139"/>
      <c r="BU85" s="139">
        <v>750</v>
      </c>
      <c r="BX85" s="139">
        <v>-191</v>
      </c>
      <c r="BY85" s="138">
        <v>559</v>
      </c>
      <c r="BZ85" s="139">
        <v>9101</v>
      </c>
      <c r="CA85" s="139">
        <v>4451</v>
      </c>
      <c r="CB85" s="176"/>
      <c r="CC85" s="139">
        <v>-499</v>
      </c>
      <c r="CD85" s="151">
        <v>-9820</v>
      </c>
      <c r="CE85" s="151">
        <v>1343</v>
      </c>
      <c r="CF85" s="138">
        <v>80798</v>
      </c>
      <c r="CG85" s="139">
        <v>70167</v>
      </c>
      <c r="CH85" s="139">
        <v>4923</v>
      </c>
      <c r="CI85" s="139">
        <v>5708</v>
      </c>
      <c r="CJ85" s="114">
        <v>20.75</v>
      </c>
      <c r="CK85" s="152"/>
      <c r="CL85" s="138">
        <v>99</v>
      </c>
      <c r="CM85" s="190">
        <v>22120</v>
      </c>
      <c r="CN85" s="146"/>
      <c r="CO85" s="150">
        <v>0.7327177840224809</v>
      </c>
      <c r="CP85" s="150">
        <v>60.22418434920189</v>
      </c>
      <c r="CQ85" s="151">
        <v>-3843.8065099457503</v>
      </c>
      <c r="CR85" s="152"/>
      <c r="CS85" s="152"/>
      <c r="CT85" s="152"/>
      <c r="CU85" s="150">
        <v>44.59642682074655</v>
      </c>
      <c r="CV85" s="151">
        <v>133.81555153707052</v>
      </c>
      <c r="CW85" s="151">
        <v>6.1384968523442645</v>
      </c>
      <c r="CX85" s="154">
        <v>7956.781193490055</v>
      </c>
      <c r="CY85" s="146">
        <v>66700</v>
      </c>
      <c r="CZ85" s="139">
        <v>25422</v>
      </c>
      <c r="DA85" s="139">
        <v>149194</v>
      </c>
      <c r="DB85" s="139">
        <v>-123772</v>
      </c>
      <c r="DC85" s="146">
        <v>86388</v>
      </c>
      <c r="DD85" s="146">
        <v>45433</v>
      </c>
      <c r="DE85" s="160"/>
      <c r="DG85" s="138">
        <v>-2496</v>
      </c>
      <c r="DH85" s="138">
        <v>726</v>
      </c>
      <c r="DI85" s="139">
        <v>6279</v>
      </c>
      <c r="DJ85" s="138">
        <v>6384</v>
      </c>
      <c r="DK85" s="139">
        <v>5246</v>
      </c>
      <c r="DM85" s="139">
        <v>5141</v>
      </c>
      <c r="DP85" s="139">
        <v>-164</v>
      </c>
      <c r="DQ85" s="138">
        <v>4977</v>
      </c>
      <c r="DR85" s="139">
        <v>14079</v>
      </c>
      <c r="DS85" s="139">
        <v>9394</v>
      </c>
      <c r="DT85" s="176"/>
      <c r="DU85" s="139">
        <v>-150</v>
      </c>
      <c r="DV85" s="151">
        <v>-9608</v>
      </c>
      <c r="DW85" s="138">
        <v>-204</v>
      </c>
      <c r="DX85" s="138">
        <v>86388</v>
      </c>
      <c r="DY85" s="146">
        <v>72351</v>
      </c>
      <c r="DZ85" s="196">
        <v>8073</v>
      </c>
      <c r="EA85" s="146">
        <v>5964</v>
      </c>
      <c r="EB85" s="114">
        <v>20.75</v>
      </c>
      <c r="EC85" s="152"/>
      <c r="ED85" s="138">
        <v>153</v>
      </c>
      <c r="EE85" s="138">
        <v>55044</v>
      </c>
      <c r="EF85" s="138">
        <v>56050</v>
      </c>
      <c r="EG85" s="138">
        <v>61345</v>
      </c>
      <c r="EH85" s="138">
        <v>900</v>
      </c>
      <c r="EI85" s="138"/>
      <c r="EJ85" s="138"/>
      <c r="EK85" s="3">
        <v>-40280</v>
      </c>
      <c r="EL85" s="138">
        <v>537</v>
      </c>
      <c r="EM85" s="138">
        <v>39583</v>
      </c>
      <c r="EN85" s="3">
        <v>-3969</v>
      </c>
      <c r="EO85" s="138">
        <v>307</v>
      </c>
      <c r="EP85" s="138">
        <v>554</v>
      </c>
      <c r="EQ85" s="3">
        <v>-14750</v>
      </c>
      <c r="ER85" s="138">
        <v>412</v>
      </c>
      <c r="ES85" s="138">
        <v>4740</v>
      </c>
      <c r="ET85" s="163">
        <v>8000</v>
      </c>
      <c r="EU85" s="163">
        <v>1900</v>
      </c>
      <c r="EV85" s="138">
        <v>8000</v>
      </c>
      <c r="EW85" s="138">
        <v>474</v>
      </c>
      <c r="EX85" s="138">
        <v>13000</v>
      </c>
      <c r="EY85" s="138">
        <v>-3575</v>
      </c>
      <c r="EZ85" s="138">
        <v>80959</v>
      </c>
      <c r="FA85" s="138">
        <v>52812</v>
      </c>
      <c r="FB85" s="138">
        <v>28147</v>
      </c>
      <c r="FC85" s="138">
        <v>19667</v>
      </c>
      <c r="FD85" s="138">
        <v>79612</v>
      </c>
      <c r="FE85" s="138">
        <v>51204</v>
      </c>
      <c r="FF85" s="138">
        <v>28408</v>
      </c>
      <c r="FG85" s="138">
        <v>19374</v>
      </c>
      <c r="FH85" s="138">
        <v>79429</v>
      </c>
      <c r="FI85" s="138">
        <v>53359</v>
      </c>
      <c r="FJ85" s="138">
        <v>26070</v>
      </c>
      <c r="FK85" s="138">
        <v>18876</v>
      </c>
      <c r="FL85" s="147">
        <v>5945</v>
      </c>
      <c r="FM85" s="147">
        <v>5872.53448353327</v>
      </c>
      <c r="FO85" s="181">
        <f t="shared" si="3"/>
        <v>3486.7951807228915</v>
      </c>
      <c r="FP85" s="179">
        <f t="shared" si="5"/>
        <v>157.6308852044707</v>
      </c>
      <c r="FR85" s="184"/>
      <c r="FV85" s="184">
        <v>9559</v>
      </c>
      <c r="FW85" s="2">
        <f t="shared" si="4"/>
        <v>-9559</v>
      </c>
    </row>
    <row r="86" spans="1:179" ht="12.75">
      <c r="A86" s="82">
        <v>320</v>
      </c>
      <c r="B86" s="80" t="s">
        <v>118</v>
      </c>
      <c r="C86" s="191">
        <v>8295</v>
      </c>
      <c r="D86" s="146"/>
      <c r="E86" s="150">
        <v>0.9083602303651668</v>
      </c>
      <c r="F86" s="150">
        <v>52.6</v>
      </c>
      <c r="G86" s="151">
        <v>-3163</v>
      </c>
      <c r="H86" s="152"/>
      <c r="I86" s="152"/>
      <c r="J86" s="152"/>
      <c r="K86" s="150">
        <v>52.7</v>
      </c>
      <c r="L86" s="151">
        <v>500</v>
      </c>
      <c r="M86" s="151">
        <v>20</v>
      </c>
      <c r="N86" s="154">
        <v>22477.99879445449</v>
      </c>
      <c r="O86" s="146">
        <v>36244</v>
      </c>
      <c r="P86" s="139">
        <v>12529</v>
      </c>
      <c r="Q86" s="139">
        <v>65058</v>
      </c>
      <c r="R86" s="139">
        <v>-52529</v>
      </c>
      <c r="S86" s="146">
        <v>26353</v>
      </c>
      <c r="T86" s="139">
        <v>28126</v>
      </c>
      <c r="U86" s="160"/>
      <c r="W86" s="138">
        <v>-641</v>
      </c>
      <c r="X86" s="138">
        <v>1646</v>
      </c>
      <c r="Y86" s="139">
        <v>2955</v>
      </c>
      <c r="Z86" s="138">
        <v>2526</v>
      </c>
      <c r="AA86" s="139"/>
      <c r="AB86" s="139"/>
      <c r="AC86" s="139">
        <v>429</v>
      </c>
      <c r="AF86" s="139">
        <v>-1</v>
      </c>
      <c r="AG86" s="139">
        <v>428</v>
      </c>
      <c r="AH86" s="139">
        <v>278</v>
      </c>
      <c r="AI86" s="139">
        <v>3077</v>
      </c>
      <c r="AJ86" s="176"/>
      <c r="AK86" s="138">
        <v>327</v>
      </c>
      <c r="AL86" s="151">
        <v>-4403</v>
      </c>
      <c r="AM86" s="151">
        <v>458</v>
      </c>
      <c r="AN86" s="146">
        <v>26353</v>
      </c>
      <c r="AO86" s="139">
        <v>21669</v>
      </c>
      <c r="AP86" s="139">
        <v>1404</v>
      </c>
      <c r="AQ86" s="139">
        <v>3280</v>
      </c>
      <c r="AR86" s="114">
        <v>20</v>
      </c>
      <c r="AS86" s="152"/>
      <c r="AT86" s="138">
        <v>95</v>
      </c>
      <c r="AU86" s="191">
        <v>8093</v>
      </c>
      <c r="AV86" s="146"/>
      <c r="AW86" s="150">
        <v>0.4551049963794352</v>
      </c>
      <c r="AX86" s="150">
        <v>53.7</v>
      </c>
      <c r="AY86" s="151">
        <v>-3557</v>
      </c>
      <c r="AZ86" s="152"/>
      <c r="BA86" s="152"/>
      <c r="BB86" s="152"/>
      <c r="BC86" s="150">
        <v>50.8</v>
      </c>
      <c r="BD86" s="151">
        <v>389</v>
      </c>
      <c r="BE86" s="151">
        <v>15</v>
      </c>
      <c r="BF86" s="154">
        <v>9747.806746571112</v>
      </c>
      <c r="BG86" s="146">
        <v>37650</v>
      </c>
      <c r="BH86" s="139">
        <v>13012</v>
      </c>
      <c r="BI86" s="139">
        <v>68041</v>
      </c>
      <c r="BJ86" s="139">
        <v>-55029</v>
      </c>
      <c r="BK86" s="146">
        <v>26392</v>
      </c>
      <c r="BL86" s="146">
        <v>29774</v>
      </c>
      <c r="BM86" s="160"/>
      <c r="BO86" s="138">
        <v>-640</v>
      </c>
      <c r="BP86" s="138">
        <v>1342</v>
      </c>
      <c r="BQ86" s="139">
        <v>1839</v>
      </c>
      <c r="BR86" s="138">
        <v>2748</v>
      </c>
      <c r="BS86" s="139"/>
      <c r="BT86" s="139"/>
      <c r="BU86" s="139">
        <v>-909</v>
      </c>
      <c r="BX86" s="139"/>
      <c r="BY86" s="138">
        <v>-909</v>
      </c>
      <c r="BZ86" s="139">
        <v>-631</v>
      </c>
      <c r="CA86" s="139">
        <v>1809</v>
      </c>
      <c r="CB86" s="176"/>
      <c r="CC86" s="138">
        <v>-356</v>
      </c>
      <c r="CD86" s="151">
        <v>-4849</v>
      </c>
      <c r="CE86" s="151">
        <v>-2346</v>
      </c>
      <c r="CF86" s="138">
        <v>26392</v>
      </c>
      <c r="CG86" s="139">
        <v>22067</v>
      </c>
      <c r="CH86" s="139">
        <v>903</v>
      </c>
      <c r="CI86" s="139">
        <v>3422</v>
      </c>
      <c r="CJ86" s="114">
        <v>20</v>
      </c>
      <c r="CK86" s="152"/>
      <c r="CL86" s="138">
        <v>98</v>
      </c>
      <c r="CM86" s="190">
        <v>7983</v>
      </c>
      <c r="CN86" s="146"/>
      <c r="CO86" s="150">
        <v>0.6012962962962963</v>
      </c>
      <c r="CP86" s="150">
        <v>51.42840858897454</v>
      </c>
      <c r="CQ86" s="151">
        <v>-3730.1766253288233</v>
      </c>
      <c r="CR86" s="152"/>
      <c r="CS86" s="152"/>
      <c r="CT86" s="152"/>
      <c r="CU86" s="150">
        <v>51.36714618151047</v>
      </c>
      <c r="CV86" s="151">
        <v>299.63672804710006</v>
      </c>
      <c r="CW86" s="151">
        <v>11.163135620309165</v>
      </c>
      <c r="CX86" s="154">
        <v>9797.194037329326</v>
      </c>
      <c r="CY86" s="146">
        <v>36302</v>
      </c>
      <c r="CZ86" s="139">
        <v>13090</v>
      </c>
      <c r="DA86" s="139">
        <v>68186</v>
      </c>
      <c r="DB86" s="139">
        <v>-55096</v>
      </c>
      <c r="DC86" s="146">
        <v>27344</v>
      </c>
      <c r="DD86" s="146">
        <v>29749</v>
      </c>
      <c r="DE86" s="160"/>
      <c r="DG86" s="138">
        <v>-492</v>
      </c>
      <c r="DH86" s="138">
        <v>1239</v>
      </c>
      <c r="DI86" s="139">
        <v>2744</v>
      </c>
      <c r="DJ86" s="138">
        <v>2828</v>
      </c>
      <c r="DK86" s="139"/>
      <c r="DL86" s="139"/>
      <c r="DM86" s="139">
        <v>-84</v>
      </c>
      <c r="DP86" s="139"/>
      <c r="DQ86" s="138">
        <v>-84</v>
      </c>
      <c r="DR86" s="139">
        <v>-715</v>
      </c>
      <c r="DS86" s="139">
        <v>2719</v>
      </c>
      <c r="DT86" s="176"/>
      <c r="DU86" s="138">
        <v>1302</v>
      </c>
      <c r="DV86" s="151">
        <v>-4897</v>
      </c>
      <c r="DW86" s="138">
        <v>-1091</v>
      </c>
      <c r="DX86" s="138">
        <v>27344</v>
      </c>
      <c r="DY86" s="146">
        <v>22654</v>
      </c>
      <c r="DZ86" s="196">
        <v>979</v>
      </c>
      <c r="EA86" s="146">
        <v>3711</v>
      </c>
      <c r="EB86" s="114">
        <v>20</v>
      </c>
      <c r="EC86" s="152"/>
      <c r="ED86" s="138">
        <v>114</v>
      </c>
      <c r="EE86" s="138">
        <v>19185</v>
      </c>
      <c r="EF86" s="138">
        <v>20296</v>
      </c>
      <c r="EG86" s="138">
        <v>21909</v>
      </c>
      <c r="EH86" s="138"/>
      <c r="EI86" s="138"/>
      <c r="EJ86" s="138"/>
      <c r="EK86" s="3">
        <v>-3633</v>
      </c>
      <c r="EL86" s="138">
        <v>886</v>
      </c>
      <c r="EM86" s="138">
        <v>128</v>
      </c>
      <c r="EN86" s="3">
        <v>-4699</v>
      </c>
      <c r="EO86" s="138">
        <v>488</v>
      </c>
      <c r="EP86" s="138">
        <v>56</v>
      </c>
      <c r="EQ86" s="3">
        <v>-4188</v>
      </c>
      <c r="ER86" s="138">
        <v>345</v>
      </c>
      <c r="ES86" s="138">
        <v>33</v>
      </c>
      <c r="ET86" s="163">
        <v>4500</v>
      </c>
      <c r="EU86" s="163"/>
      <c r="EV86" s="138">
        <v>5500</v>
      </c>
      <c r="EW86" s="138"/>
      <c r="EX86" s="138">
        <v>5284</v>
      </c>
      <c r="EY86" s="138"/>
      <c r="EZ86" s="138">
        <v>27579</v>
      </c>
      <c r="FA86" s="138">
        <v>22727</v>
      </c>
      <c r="FB86" s="138">
        <v>4852</v>
      </c>
      <c r="FC86" s="138">
        <v>1010</v>
      </c>
      <c r="FD86" s="138">
        <v>28227</v>
      </c>
      <c r="FE86" s="138">
        <v>23329</v>
      </c>
      <c r="FF86" s="138">
        <v>4898</v>
      </c>
      <c r="FG86" s="138">
        <v>1239</v>
      </c>
      <c r="FH86" s="138">
        <v>28613</v>
      </c>
      <c r="FI86" s="138">
        <v>23487</v>
      </c>
      <c r="FJ86" s="138">
        <v>5126</v>
      </c>
      <c r="FK86" s="138">
        <v>1340</v>
      </c>
      <c r="FL86" s="147">
        <v>8265</v>
      </c>
      <c r="FM86" s="147">
        <v>9095.267515136538</v>
      </c>
      <c r="FO86" s="181">
        <f t="shared" si="3"/>
        <v>1132.7</v>
      </c>
      <c r="FP86" s="179">
        <f t="shared" si="5"/>
        <v>141.88901415507954</v>
      </c>
      <c r="FR86" s="184"/>
      <c r="FV86" s="184">
        <v>4403</v>
      </c>
      <c r="FW86" s="2">
        <f t="shared" si="4"/>
        <v>-4403</v>
      </c>
    </row>
    <row r="87" spans="1:179" ht="12.75">
      <c r="A87" s="82">
        <v>241</v>
      </c>
      <c r="B87" s="80" t="s">
        <v>84</v>
      </c>
      <c r="C87" s="191">
        <v>8572</v>
      </c>
      <c r="D87" s="146"/>
      <c r="E87" s="150">
        <v>0.6128839844915002</v>
      </c>
      <c r="F87" s="150">
        <v>32.2</v>
      </c>
      <c r="G87" s="151">
        <v>-1361</v>
      </c>
      <c r="H87" s="152"/>
      <c r="I87" s="152"/>
      <c r="J87" s="152"/>
      <c r="K87" s="150">
        <v>65.3</v>
      </c>
      <c r="L87" s="151">
        <v>320</v>
      </c>
      <c r="M87" s="151">
        <v>18</v>
      </c>
      <c r="N87" s="154">
        <v>6658.189454036398</v>
      </c>
      <c r="O87" s="146">
        <v>23378</v>
      </c>
      <c r="P87" s="139">
        <v>5177</v>
      </c>
      <c r="Q87" s="139">
        <v>48519</v>
      </c>
      <c r="R87" s="139">
        <v>-43342</v>
      </c>
      <c r="S87" s="146">
        <v>31241</v>
      </c>
      <c r="T87" s="139">
        <v>13557</v>
      </c>
      <c r="U87" s="160"/>
      <c r="W87" s="138">
        <v>-40</v>
      </c>
      <c r="X87" s="138">
        <v>-28</v>
      </c>
      <c r="Y87" s="139">
        <v>1388</v>
      </c>
      <c r="Z87" s="138">
        <v>1422</v>
      </c>
      <c r="AA87" s="139"/>
      <c r="AC87" s="139">
        <v>-34</v>
      </c>
      <c r="AG87" s="139">
        <v>-34</v>
      </c>
      <c r="AH87" s="139">
        <v>7562</v>
      </c>
      <c r="AI87" s="139">
        <v>1375</v>
      </c>
      <c r="AJ87" s="176"/>
      <c r="AK87" s="139">
        <v>-283</v>
      </c>
      <c r="AL87" s="151">
        <v>-2686</v>
      </c>
      <c r="AM87" s="151">
        <v>-872</v>
      </c>
      <c r="AN87" s="146">
        <v>31241</v>
      </c>
      <c r="AO87" s="139">
        <v>27157</v>
      </c>
      <c r="AP87" s="139">
        <v>1148</v>
      </c>
      <c r="AQ87" s="139">
        <v>2936</v>
      </c>
      <c r="AR87" s="114">
        <v>20.5</v>
      </c>
      <c r="AS87" s="152"/>
      <c r="AT87" s="138">
        <v>226</v>
      </c>
      <c r="AU87" s="191">
        <v>8585</v>
      </c>
      <c r="AV87" s="146"/>
      <c r="AW87" s="150">
        <v>0.07558945908460471</v>
      </c>
      <c r="AX87" s="150">
        <v>36.3</v>
      </c>
      <c r="AY87" s="151">
        <v>-1893</v>
      </c>
      <c r="AZ87" s="152"/>
      <c r="BA87" s="152"/>
      <c r="BB87" s="152"/>
      <c r="BC87" s="150">
        <v>60.5</v>
      </c>
      <c r="BD87" s="151">
        <v>48</v>
      </c>
      <c r="BE87" s="151">
        <v>3</v>
      </c>
      <c r="BF87" s="154">
        <v>6932.090856144438</v>
      </c>
      <c r="BG87" s="146">
        <v>24742</v>
      </c>
      <c r="BH87" s="139">
        <v>5369</v>
      </c>
      <c r="BI87" s="139">
        <v>51405</v>
      </c>
      <c r="BJ87" s="139">
        <v>-46036</v>
      </c>
      <c r="BK87" s="146">
        <v>31851</v>
      </c>
      <c r="BL87" s="146">
        <v>14184</v>
      </c>
      <c r="BM87" s="160"/>
      <c r="BO87" s="138">
        <v>-99</v>
      </c>
      <c r="BP87" s="138">
        <v>18</v>
      </c>
      <c r="BQ87" s="139">
        <v>-82</v>
      </c>
      <c r="BR87" s="138">
        <v>1502</v>
      </c>
      <c r="BS87" s="139"/>
      <c r="BU87" s="139">
        <v>-1584</v>
      </c>
      <c r="BY87" s="138">
        <v>-1584</v>
      </c>
      <c r="BZ87" s="139">
        <v>5978</v>
      </c>
      <c r="CA87" s="139">
        <v>-126</v>
      </c>
      <c r="CB87" s="176"/>
      <c r="CC87" s="139">
        <v>-286</v>
      </c>
      <c r="CD87" s="151">
        <v>-2584</v>
      </c>
      <c r="CE87" s="151">
        <v>-4733</v>
      </c>
      <c r="CF87" s="138">
        <v>31851</v>
      </c>
      <c r="CG87" s="139">
        <v>27855</v>
      </c>
      <c r="CH87" s="139">
        <v>981</v>
      </c>
      <c r="CI87" s="139">
        <v>3015</v>
      </c>
      <c r="CJ87" s="114">
        <v>20.5</v>
      </c>
      <c r="CK87" s="152"/>
      <c r="CL87" s="138">
        <v>245</v>
      </c>
      <c r="CM87" s="190">
        <v>8565</v>
      </c>
      <c r="CN87" s="146"/>
      <c r="CO87" s="150">
        <v>-0.15594681997844054</v>
      </c>
      <c r="CP87" s="150">
        <v>42.47592744644324</v>
      </c>
      <c r="CQ87" s="151">
        <v>-2246.2346760070054</v>
      </c>
      <c r="CR87" s="152"/>
      <c r="CS87" s="152"/>
      <c r="CT87" s="152"/>
      <c r="CU87" s="150">
        <v>53.462671406805484</v>
      </c>
      <c r="CV87" s="151">
        <v>190.1926444833625</v>
      </c>
      <c r="CW87" s="151">
        <v>9.966893522864423</v>
      </c>
      <c r="CX87" s="154">
        <v>6965.090484530064</v>
      </c>
      <c r="CY87" s="146">
        <v>25251</v>
      </c>
      <c r="CZ87" s="139">
        <v>5912</v>
      </c>
      <c r="DA87" s="139">
        <v>54239</v>
      </c>
      <c r="DB87" s="139">
        <v>-48327</v>
      </c>
      <c r="DC87" s="146">
        <v>33403</v>
      </c>
      <c r="DD87" s="146">
        <v>14273</v>
      </c>
      <c r="DE87" s="160"/>
      <c r="DG87" s="138">
        <v>-40</v>
      </c>
      <c r="DH87" s="138">
        <v>19</v>
      </c>
      <c r="DI87" s="139">
        <v>-672</v>
      </c>
      <c r="DJ87" s="138">
        <v>1801</v>
      </c>
      <c r="DK87" s="139"/>
      <c r="DM87" s="139">
        <v>-2473</v>
      </c>
      <c r="DQ87" s="138">
        <v>-2473</v>
      </c>
      <c r="DR87" s="139">
        <v>3505</v>
      </c>
      <c r="DS87" s="139">
        <v>-1098</v>
      </c>
      <c r="DT87" s="176"/>
      <c r="DU87" s="139">
        <v>127</v>
      </c>
      <c r="DV87" s="151">
        <v>-2545</v>
      </c>
      <c r="DW87" s="138">
        <v>-3066</v>
      </c>
      <c r="DX87" s="138">
        <v>33403</v>
      </c>
      <c r="DY87" s="146">
        <v>29170</v>
      </c>
      <c r="DZ87" s="196">
        <v>1055</v>
      </c>
      <c r="EA87" s="146">
        <v>3178</v>
      </c>
      <c r="EB87" s="114">
        <v>20.75</v>
      </c>
      <c r="EC87" s="152"/>
      <c r="ED87" s="138">
        <v>288</v>
      </c>
      <c r="EE87" s="138">
        <v>19953</v>
      </c>
      <c r="EF87" s="138">
        <v>21260</v>
      </c>
      <c r="EG87" s="138">
        <v>23483</v>
      </c>
      <c r="EH87" s="138"/>
      <c r="EI87" s="138"/>
      <c r="EJ87" s="138"/>
      <c r="EK87" s="3">
        <v>-2338</v>
      </c>
      <c r="EL87" s="138">
        <v>73</v>
      </c>
      <c r="EM87" s="138">
        <v>18</v>
      </c>
      <c r="EN87" s="3">
        <v>-5070</v>
      </c>
      <c r="EO87" s="138">
        <v>332</v>
      </c>
      <c r="EP87" s="138">
        <v>130</v>
      </c>
      <c r="EQ87" s="3">
        <v>-2618</v>
      </c>
      <c r="ER87" s="138">
        <v>221</v>
      </c>
      <c r="ES87" s="138">
        <v>429</v>
      </c>
      <c r="ET87" s="163">
        <v>2000</v>
      </c>
      <c r="EU87" s="163"/>
      <c r="EV87" s="138">
        <v>4186</v>
      </c>
      <c r="EW87" s="138"/>
      <c r="EX87" s="138">
        <v>3474</v>
      </c>
      <c r="EY87" s="138">
        <v>3200</v>
      </c>
      <c r="EZ87" s="138">
        <v>10835</v>
      </c>
      <c r="FA87" s="138">
        <v>8306</v>
      </c>
      <c r="FB87" s="138">
        <v>2529</v>
      </c>
      <c r="FC87" s="138">
        <v>5008</v>
      </c>
      <c r="FD87" s="138">
        <v>12437</v>
      </c>
      <c r="FE87" s="138">
        <v>9911</v>
      </c>
      <c r="FF87" s="138">
        <v>2526</v>
      </c>
      <c r="FG87" s="138">
        <v>4966</v>
      </c>
      <c r="FH87" s="138">
        <v>16567</v>
      </c>
      <c r="FI87" s="138">
        <v>10901</v>
      </c>
      <c r="FJ87" s="138">
        <v>5666</v>
      </c>
      <c r="FK87" s="138">
        <v>4925</v>
      </c>
      <c r="FL87" s="147">
        <v>3506</v>
      </c>
      <c r="FM87" s="147">
        <v>3598.9516598718697</v>
      </c>
      <c r="FO87" s="181">
        <f t="shared" si="3"/>
        <v>1405.7831325301204</v>
      </c>
      <c r="FP87" s="179">
        <f t="shared" si="5"/>
        <v>164.1311304763713</v>
      </c>
      <c r="FR87" s="184"/>
      <c r="FV87" s="184">
        <v>2686</v>
      </c>
      <c r="FW87" s="2">
        <f t="shared" si="4"/>
        <v>-2686</v>
      </c>
    </row>
    <row r="88" spans="1:179" ht="12.75">
      <c r="A88" s="183">
        <v>322</v>
      </c>
      <c r="B88" s="86" t="s">
        <v>383</v>
      </c>
      <c r="C88" s="191">
        <v>7173</v>
      </c>
      <c r="D88" s="146"/>
      <c r="E88" s="150">
        <v>1.28125</v>
      </c>
      <c r="F88" s="150">
        <v>49.2</v>
      </c>
      <c r="G88" s="151">
        <v>-2245</v>
      </c>
      <c r="H88" s="152"/>
      <c r="I88" s="152"/>
      <c r="J88" s="152"/>
      <c r="K88" s="150">
        <v>56.5</v>
      </c>
      <c r="L88" s="151">
        <v>809</v>
      </c>
      <c r="M88" s="151">
        <v>42</v>
      </c>
      <c r="N88" s="154">
        <v>6858.7759654259025</v>
      </c>
      <c r="O88" s="146">
        <v>22656</v>
      </c>
      <c r="P88" s="139">
        <v>8671</v>
      </c>
      <c r="Q88" s="139">
        <v>43784</v>
      </c>
      <c r="R88" s="139">
        <v>-35113</v>
      </c>
      <c r="S88" s="146">
        <v>21473</v>
      </c>
      <c r="T88" s="139">
        <v>18959</v>
      </c>
      <c r="U88" s="160"/>
      <c r="W88" s="138">
        <v>-524</v>
      </c>
      <c r="X88" s="138">
        <v>118</v>
      </c>
      <c r="Y88" s="139">
        <v>4913</v>
      </c>
      <c r="Z88" s="138">
        <v>2450</v>
      </c>
      <c r="AC88" s="139">
        <v>2463</v>
      </c>
      <c r="AD88" s="139">
        <v>178</v>
      </c>
      <c r="AG88" s="139">
        <v>2641</v>
      </c>
      <c r="AH88" s="139">
        <v>8986</v>
      </c>
      <c r="AI88" s="139">
        <v>4729</v>
      </c>
      <c r="AJ88" s="176"/>
      <c r="AK88" s="138">
        <v>-108</v>
      </c>
      <c r="AL88" s="151">
        <v>-3797</v>
      </c>
      <c r="AM88" s="151">
        <v>2309</v>
      </c>
      <c r="AN88" s="146">
        <v>21473</v>
      </c>
      <c r="AO88" s="139">
        <v>17888</v>
      </c>
      <c r="AP88" s="139">
        <v>1213</v>
      </c>
      <c r="AQ88" s="139">
        <v>2372</v>
      </c>
      <c r="AR88" s="114">
        <v>19.75</v>
      </c>
      <c r="AS88" s="152"/>
      <c r="AT88" s="138">
        <v>16</v>
      </c>
      <c r="AU88" s="191">
        <v>7075</v>
      </c>
      <c r="AV88" s="146"/>
      <c r="AW88" s="150">
        <v>1.5734635734635736</v>
      </c>
      <c r="AX88" s="150">
        <v>44.9</v>
      </c>
      <c r="AY88" s="151">
        <v>-2218</v>
      </c>
      <c r="AZ88" s="152"/>
      <c r="BA88" s="152"/>
      <c r="BB88" s="152"/>
      <c r="BC88" s="150">
        <v>59.4</v>
      </c>
      <c r="BD88" s="151">
        <v>513</v>
      </c>
      <c r="BE88" s="151">
        <v>26</v>
      </c>
      <c r="BF88" s="154">
        <v>7311.378091872792</v>
      </c>
      <c r="BG88" s="146">
        <v>23122</v>
      </c>
      <c r="BH88" s="139">
        <v>7740</v>
      </c>
      <c r="BI88" s="139">
        <v>45394</v>
      </c>
      <c r="BJ88" s="139">
        <v>-37654</v>
      </c>
      <c r="BK88" s="146">
        <v>20712</v>
      </c>
      <c r="BL88" s="146">
        <v>20746</v>
      </c>
      <c r="BM88" s="160"/>
      <c r="BO88" s="138">
        <v>-454</v>
      </c>
      <c r="BP88" s="138">
        <v>50</v>
      </c>
      <c r="BQ88" s="139">
        <v>3400</v>
      </c>
      <c r="BR88" s="138">
        <v>2356</v>
      </c>
      <c r="BU88" s="139">
        <v>1044</v>
      </c>
      <c r="BV88" s="139">
        <v>167</v>
      </c>
      <c r="BY88" s="138">
        <v>1211</v>
      </c>
      <c r="BZ88" s="139">
        <v>10231</v>
      </c>
      <c r="CA88" s="139">
        <v>3311</v>
      </c>
      <c r="CB88" s="176"/>
      <c r="CC88" s="138">
        <v>-562</v>
      </c>
      <c r="CD88" s="151">
        <v>-1991</v>
      </c>
      <c r="CE88" s="151">
        <v>372</v>
      </c>
      <c r="CF88" s="138">
        <v>20712</v>
      </c>
      <c r="CG88" s="139">
        <v>17643</v>
      </c>
      <c r="CH88" s="139">
        <v>620</v>
      </c>
      <c r="CI88" s="139">
        <v>2449</v>
      </c>
      <c r="CJ88" s="114">
        <v>19.75</v>
      </c>
      <c r="CK88" s="152"/>
      <c r="CL88" s="138">
        <v>22</v>
      </c>
      <c r="CM88" s="190">
        <v>7012</v>
      </c>
      <c r="CN88" s="146"/>
      <c r="CO88" s="150">
        <v>1.4491449144914492</v>
      </c>
      <c r="CP88" s="150">
        <v>45.1100644044987</v>
      </c>
      <c r="CQ88" s="151">
        <v>-1937.3930405019967</v>
      </c>
      <c r="CR88" s="152"/>
      <c r="CS88" s="152"/>
      <c r="CT88" s="152"/>
      <c r="CU88" s="150">
        <v>59.48810887517311</v>
      </c>
      <c r="CV88" s="151">
        <v>976.468910439247</v>
      </c>
      <c r="CW88" s="151">
        <v>46.307231929440974</v>
      </c>
      <c r="CX88" s="154">
        <v>7696.662863662294</v>
      </c>
      <c r="CY88" s="146">
        <v>23674</v>
      </c>
      <c r="CZ88" s="139">
        <v>7562</v>
      </c>
      <c r="DA88" s="139">
        <v>47254</v>
      </c>
      <c r="DB88" s="139">
        <v>-39692</v>
      </c>
      <c r="DC88" s="146">
        <v>22590</v>
      </c>
      <c r="DD88" s="146">
        <v>21908</v>
      </c>
      <c r="DE88" s="160"/>
      <c r="DG88" s="138">
        <v>-330</v>
      </c>
      <c r="DH88" s="138">
        <v>22</v>
      </c>
      <c r="DI88" s="139">
        <v>4498</v>
      </c>
      <c r="DJ88" s="138">
        <v>2384</v>
      </c>
      <c r="DM88" s="139">
        <v>2114</v>
      </c>
      <c r="DN88" s="139">
        <v>167</v>
      </c>
      <c r="DQ88" s="138">
        <v>2281</v>
      </c>
      <c r="DR88" s="139">
        <v>12512</v>
      </c>
      <c r="DS88" s="139">
        <v>4426</v>
      </c>
      <c r="DT88" s="176"/>
      <c r="DU88" s="138">
        <v>-274</v>
      </c>
      <c r="DV88" s="151">
        <v>-3001</v>
      </c>
      <c r="DW88" s="138">
        <v>2128</v>
      </c>
      <c r="DX88" s="138">
        <v>22590</v>
      </c>
      <c r="DY88" s="146">
        <v>19384</v>
      </c>
      <c r="DZ88" s="196">
        <v>633</v>
      </c>
      <c r="EA88" s="146">
        <v>2573</v>
      </c>
      <c r="EB88" s="114">
        <v>19.75</v>
      </c>
      <c r="EC88" s="152"/>
      <c r="ED88" s="138">
        <v>26</v>
      </c>
      <c r="EE88" s="138">
        <v>15358</v>
      </c>
      <c r="EF88" s="138">
        <v>16243</v>
      </c>
      <c r="EG88" s="138">
        <v>17505</v>
      </c>
      <c r="EH88" s="138"/>
      <c r="EI88" s="138"/>
      <c r="EJ88" s="138"/>
      <c r="EK88" s="3">
        <v>-2834</v>
      </c>
      <c r="EL88" s="138">
        <v>155</v>
      </c>
      <c r="EM88" s="138">
        <v>259</v>
      </c>
      <c r="EN88" s="3">
        <v>-3901</v>
      </c>
      <c r="EO88" s="138">
        <v>257</v>
      </c>
      <c r="EP88" s="138">
        <v>705</v>
      </c>
      <c r="EQ88" s="3">
        <v>-3412</v>
      </c>
      <c r="ER88" s="138">
        <v>414</v>
      </c>
      <c r="ES88" s="138">
        <v>700</v>
      </c>
      <c r="ET88" s="163"/>
      <c r="EU88" s="163"/>
      <c r="EV88" s="138"/>
      <c r="EW88" s="138"/>
      <c r="EX88" s="138">
        <v>4500</v>
      </c>
      <c r="EY88" s="138"/>
      <c r="EZ88" s="138">
        <v>16637</v>
      </c>
      <c r="FA88" s="138">
        <v>14687</v>
      </c>
      <c r="FB88" s="138">
        <v>1950</v>
      </c>
      <c r="FC88" s="138">
        <v>1</v>
      </c>
      <c r="FD88" s="138">
        <v>14646</v>
      </c>
      <c r="FE88" s="138">
        <v>12690</v>
      </c>
      <c r="FF88" s="138">
        <v>1956</v>
      </c>
      <c r="FG88" s="138">
        <v>1</v>
      </c>
      <c r="FH88" s="138">
        <v>16146</v>
      </c>
      <c r="FI88" s="138">
        <v>14149</v>
      </c>
      <c r="FJ88" s="138">
        <v>1997</v>
      </c>
      <c r="FK88" s="138">
        <v>1</v>
      </c>
      <c r="FL88" s="147">
        <v>4293</v>
      </c>
      <c r="FM88" s="147">
        <v>4366.78445229682</v>
      </c>
      <c r="FO88" s="181">
        <f t="shared" si="3"/>
        <v>981.4683544303797</v>
      </c>
      <c r="FP88" s="179">
        <f t="shared" si="5"/>
        <v>139.9698166614917</v>
      </c>
      <c r="FR88" s="184"/>
      <c r="FV88" s="184">
        <v>3797</v>
      </c>
      <c r="FW88" s="2">
        <f t="shared" si="4"/>
        <v>-3797</v>
      </c>
    </row>
    <row r="89" spans="1:179" ht="12.75">
      <c r="A89" s="82">
        <v>244</v>
      </c>
      <c r="B89" s="80" t="s">
        <v>85</v>
      </c>
      <c r="C89" s="191">
        <v>16182</v>
      </c>
      <c r="D89" s="146"/>
      <c r="E89" s="150">
        <v>1.4685675025764342</v>
      </c>
      <c r="F89" s="150">
        <v>37.1</v>
      </c>
      <c r="G89" s="151">
        <v>-1226</v>
      </c>
      <c r="H89" s="152"/>
      <c r="I89" s="152"/>
      <c r="J89" s="152"/>
      <c r="K89" s="150">
        <v>65.2</v>
      </c>
      <c r="L89" s="151">
        <v>329</v>
      </c>
      <c r="M89" s="151">
        <v>22</v>
      </c>
      <c r="N89" s="154">
        <v>5058.398220244716</v>
      </c>
      <c r="O89" s="146">
        <v>39218</v>
      </c>
      <c r="P89" s="139">
        <v>9791</v>
      </c>
      <c r="Q89" s="139">
        <v>76179</v>
      </c>
      <c r="R89" s="139">
        <v>-66388</v>
      </c>
      <c r="S89" s="146">
        <v>53078</v>
      </c>
      <c r="T89" s="139">
        <v>17782</v>
      </c>
      <c r="U89" s="160"/>
      <c r="W89" s="138">
        <v>-555</v>
      </c>
      <c r="X89" s="138">
        <v>95</v>
      </c>
      <c r="Y89" s="139">
        <v>4012</v>
      </c>
      <c r="Z89" s="138">
        <v>3785</v>
      </c>
      <c r="AC89" s="139">
        <v>227</v>
      </c>
      <c r="AD89" s="139">
        <v>611</v>
      </c>
      <c r="AG89" s="139">
        <v>838</v>
      </c>
      <c r="AH89" s="139">
        <v>4782</v>
      </c>
      <c r="AI89" s="139">
        <v>1687</v>
      </c>
      <c r="AJ89" s="176"/>
      <c r="AK89" s="139">
        <v>-742</v>
      </c>
      <c r="AL89" s="151">
        <v>-2648</v>
      </c>
      <c r="AM89" s="151">
        <v>-5130</v>
      </c>
      <c r="AN89" s="146">
        <v>53078</v>
      </c>
      <c r="AO89" s="139">
        <v>48580</v>
      </c>
      <c r="AP89" s="139">
        <v>2059</v>
      </c>
      <c r="AQ89" s="139">
        <v>2439</v>
      </c>
      <c r="AR89" s="114">
        <v>19.5</v>
      </c>
      <c r="AS89" s="152"/>
      <c r="AT89" s="138">
        <v>165</v>
      </c>
      <c r="AU89" s="191">
        <v>16383</v>
      </c>
      <c r="AV89" s="146"/>
      <c r="AW89" s="150">
        <v>1.1303431667670079</v>
      </c>
      <c r="AX89" s="150">
        <v>41.9</v>
      </c>
      <c r="AY89" s="151">
        <v>-1637</v>
      </c>
      <c r="AZ89" s="152"/>
      <c r="BA89" s="152"/>
      <c r="BB89" s="152"/>
      <c r="BC89" s="150">
        <v>61</v>
      </c>
      <c r="BD89" s="151">
        <v>185</v>
      </c>
      <c r="BE89" s="151">
        <v>11</v>
      </c>
      <c r="BF89" s="154">
        <v>5928.584508331807</v>
      </c>
      <c r="BG89" s="146">
        <v>40905</v>
      </c>
      <c r="BH89" s="139">
        <v>11092</v>
      </c>
      <c r="BI89" s="139">
        <v>80515</v>
      </c>
      <c r="BJ89" s="139">
        <v>-69423</v>
      </c>
      <c r="BK89" s="146">
        <v>53754</v>
      </c>
      <c r="BL89" s="146">
        <v>19338</v>
      </c>
      <c r="BM89" s="160"/>
      <c r="BO89" s="138">
        <v>-674</v>
      </c>
      <c r="BP89" s="138">
        <v>86</v>
      </c>
      <c r="BQ89" s="139">
        <v>3081</v>
      </c>
      <c r="BR89" s="138">
        <v>3968</v>
      </c>
      <c r="BS89" s="138">
        <v>104</v>
      </c>
      <c r="BU89" s="139">
        <v>-783</v>
      </c>
      <c r="BV89" s="139">
        <v>-6213</v>
      </c>
      <c r="BW89" s="138">
        <v>6822</v>
      </c>
      <c r="BY89" s="138">
        <v>-174</v>
      </c>
      <c r="BZ89" s="139">
        <v>4637</v>
      </c>
      <c r="CA89" s="139">
        <v>190</v>
      </c>
      <c r="CB89" s="176"/>
      <c r="CC89" s="139">
        <v>-667</v>
      </c>
      <c r="CD89" s="151">
        <v>-2648</v>
      </c>
      <c r="CE89" s="151">
        <v>-6916</v>
      </c>
      <c r="CF89" s="138">
        <v>53754</v>
      </c>
      <c r="CG89" s="139">
        <v>49742</v>
      </c>
      <c r="CH89" s="139">
        <v>1345</v>
      </c>
      <c r="CI89" s="139">
        <v>2667</v>
      </c>
      <c r="CJ89" s="114">
        <v>19.5</v>
      </c>
      <c r="CK89" s="152"/>
      <c r="CL89" s="138">
        <v>122</v>
      </c>
      <c r="CM89" s="190">
        <v>16605</v>
      </c>
      <c r="CN89" s="146"/>
      <c r="CO89" s="150">
        <v>1.1211065127423219</v>
      </c>
      <c r="CP89" s="150">
        <v>45.25765246253395</v>
      </c>
      <c r="CQ89" s="151">
        <v>-1903.6434808792533</v>
      </c>
      <c r="CR89" s="152"/>
      <c r="CS89" s="152"/>
      <c r="CT89" s="152"/>
      <c r="CU89" s="150">
        <v>58.25936706126773</v>
      </c>
      <c r="CV89" s="151">
        <v>309.3646492020476</v>
      </c>
      <c r="CW89" s="151">
        <v>19.122167377159524</v>
      </c>
      <c r="CX89" s="154">
        <v>5905.088828666065</v>
      </c>
      <c r="CY89" s="146">
        <v>41500</v>
      </c>
      <c r="CZ89" s="139">
        <v>10885</v>
      </c>
      <c r="DA89" s="139">
        <v>84351</v>
      </c>
      <c r="DB89" s="139">
        <v>-73466</v>
      </c>
      <c r="DC89" s="146">
        <v>58575</v>
      </c>
      <c r="DD89" s="146">
        <v>20021</v>
      </c>
      <c r="DE89" s="160"/>
      <c r="DG89" s="138">
        <v>-741</v>
      </c>
      <c r="DH89" s="138">
        <v>17</v>
      </c>
      <c r="DI89" s="139">
        <v>4406</v>
      </c>
      <c r="DJ89" s="138">
        <v>4588</v>
      </c>
      <c r="DK89" s="138">
        <v>669</v>
      </c>
      <c r="DM89" s="139">
        <v>487</v>
      </c>
      <c r="DN89" s="139"/>
      <c r="DO89" s="138">
        <v>948</v>
      </c>
      <c r="DQ89" s="138">
        <v>1435</v>
      </c>
      <c r="DR89" s="139">
        <v>6072</v>
      </c>
      <c r="DS89" s="139">
        <v>2452</v>
      </c>
      <c r="DT89" s="176"/>
      <c r="DU89" s="139">
        <v>1637</v>
      </c>
      <c r="DV89" s="151">
        <v>-3850</v>
      </c>
      <c r="DW89" s="138">
        <v>-4658</v>
      </c>
      <c r="DX89" s="138">
        <v>58575</v>
      </c>
      <c r="DY89" s="146">
        <v>54335</v>
      </c>
      <c r="DZ89" s="196">
        <v>1456</v>
      </c>
      <c r="EA89" s="146">
        <v>2784</v>
      </c>
      <c r="EB89" s="114">
        <v>19.5</v>
      </c>
      <c r="EC89" s="152"/>
      <c r="ED89" s="138">
        <v>162</v>
      </c>
      <c r="EE89" s="138">
        <v>27809</v>
      </c>
      <c r="EF89" s="138">
        <v>29956</v>
      </c>
      <c r="EG89" s="138">
        <v>32164</v>
      </c>
      <c r="EH89" s="138"/>
      <c r="EI89" s="138"/>
      <c r="EJ89" s="138"/>
      <c r="EK89" s="3">
        <v>-10300</v>
      </c>
      <c r="EL89" s="138">
        <v>823</v>
      </c>
      <c r="EM89" s="138">
        <v>2660</v>
      </c>
      <c r="EN89" s="3">
        <v>-13283</v>
      </c>
      <c r="EO89" s="138">
        <v>890</v>
      </c>
      <c r="EP89" s="138">
        <v>5287</v>
      </c>
      <c r="EQ89" s="3">
        <v>-8856</v>
      </c>
      <c r="ER89" s="138">
        <v>21</v>
      </c>
      <c r="ES89" s="138">
        <v>1725</v>
      </c>
      <c r="ET89" s="163">
        <v>3800</v>
      </c>
      <c r="EU89" s="163">
        <v>2980</v>
      </c>
      <c r="EV89" s="138">
        <v>13700</v>
      </c>
      <c r="EW89" s="138">
        <v>-4600</v>
      </c>
      <c r="EX89" s="138">
        <v>8700</v>
      </c>
      <c r="EY89" s="138"/>
      <c r="EZ89" s="138">
        <v>20368</v>
      </c>
      <c r="FA89" s="138">
        <v>13120</v>
      </c>
      <c r="FB89" s="138">
        <v>7248</v>
      </c>
      <c r="FC89" s="138">
        <v>0</v>
      </c>
      <c r="FD89" s="138">
        <v>26820</v>
      </c>
      <c r="FE89" s="138">
        <v>22970</v>
      </c>
      <c r="FF89" s="138">
        <v>3850</v>
      </c>
      <c r="FG89" s="138">
        <v>0</v>
      </c>
      <c r="FH89" s="138">
        <v>31670</v>
      </c>
      <c r="FI89" s="138">
        <v>27050</v>
      </c>
      <c r="FJ89" s="138">
        <v>4620</v>
      </c>
      <c r="FK89" s="138">
        <v>0</v>
      </c>
      <c r="FL89" s="147">
        <v>2522</v>
      </c>
      <c r="FM89" s="147">
        <v>2877.5560031740215</v>
      </c>
      <c r="FO89" s="181">
        <f t="shared" si="3"/>
        <v>2786.4102564102564</v>
      </c>
      <c r="FP89" s="179">
        <f t="shared" si="5"/>
        <v>167.80549571877484</v>
      </c>
      <c r="FR89" s="184"/>
      <c r="FV89" s="184">
        <v>2648</v>
      </c>
      <c r="FW89" s="2">
        <f t="shared" si="4"/>
        <v>-2648</v>
      </c>
    </row>
    <row r="90" spans="1:179" ht="12.75">
      <c r="A90" s="82">
        <v>245</v>
      </c>
      <c r="B90" s="80" t="s">
        <v>86</v>
      </c>
      <c r="C90" s="191">
        <v>34549</v>
      </c>
      <c r="D90" s="146"/>
      <c r="E90" s="150">
        <v>1.3175585768006943</v>
      </c>
      <c r="F90" s="150">
        <v>30.6</v>
      </c>
      <c r="G90" s="151">
        <v>-1420</v>
      </c>
      <c r="H90" s="152"/>
      <c r="I90" s="152"/>
      <c r="J90" s="152"/>
      <c r="K90" s="150">
        <v>78.3</v>
      </c>
      <c r="L90" s="151">
        <v>81</v>
      </c>
      <c r="M90" s="151">
        <v>5</v>
      </c>
      <c r="N90" s="154">
        <v>5208.399664244986</v>
      </c>
      <c r="O90" s="146">
        <v>71619</v>
      </c>
      <c r="P90" s="139">
        <v>35843</v>
      </c>
      <c r="Q90" s="139">
        <v>172666</v>
      </c>
      <c r="R90" s="139">
        <v>-136823</v>
      </c>
      <c r="S90" s="146">
        <v>139357</v>
      </c>
      <c r="T90" s="139">
        <v>18966</v>
      </c>
      <c r="U90" s="160"/>
      <c r="W90" s="138">
        <v>-542</v>
      </c>
      <c r="X90" s="138">
        <v>1215</v>
      </c>
      <c r="Y90" s="139">
        <v>22173</v>
      </c>
      <c r="Z90" s="138">
        <v>9082</v>
      </c>
      <c r="AA90" s="138">
        <v>293</v>
      </c>
      <c r="AC90" s="139">
        <v>13384</v>
      </c>
      <c r="AF90" s="139">
        <v>-3</v>
      </c>
      <c r="AG90" s="139">
        <v>13381</v>
      </c>
      <c r="AH90" s="139">
        <v>84128</v>
      </c>
      <c r="AI90" s="139">
        <v>17181</v>
      </c>
      <c r="AJ90" s="176"/>
      <c r="AK90" s="138">
        <v>1945</v>
      </c>
      <c r="AL90" s="151">
        <v>-16684</v>
      </c>
      <c r="AM90" s="151">
        <v>5297</v>
      </c>
      <c r="AN90" s="146">
        <v>139357</v>
      </c>
      <c r="AO90" s="139">
        <v>120103</v>
      </c>
      <c r="AP90" s="139">
        <v>10376</v>
      </c>
      <c r="AQ90" s="139">
        <v>8878</v>
      </c>
      <c r="AR90" s="114">
        <v>18.75</v>
      </c>
      <c r="AS90" s="152"/>
      <c r="AT90" s="138">
        <v>20</v>
      </c>
      <c r="AU90" s="191">
        <v>34491</v>
      </c>
      <c r="AV90" s="146"/>
      <c r="AW90" s="150">
        <v>1.2893969757697212</v>
      </c>
      <c r="AX90" s="150">
        <v>35.4</v>
      </c>
      <c r="AY90" s="151">
        <v>-1662</v>
      </c>
      <c r="AZ90" s="152"/>
      <c r="BA90" s="152"/>
      <c r="BB90" s="152"/>
      <c r="BC90" s="150">
        <v>76.3</v>
      </c>
      <c r="BD90" s="151">
        <v>94</v>
      </c>
      <c r="BE90" s="151">
        <v>6</v>
      </c>
      <c r="BF90" s="154">
        <v>6221.999942013858</v>
      </c>
      <c r="BG90" s="146">
        <v>75531</v>
      </c>
      <c r="BH90" s="139">
        <v>35653</v>
      </c>
      <c r="BI90" s="139">
        <v>180904</v>
      </c>
      <c r="BJ90" s="139">
        <v>-145251</v>
      </c>
      <c r="BK90" s="146">
        <v>138807</v>
      </c>
      <c r="BL90" s="146">
        <v>18656</v>
      </c>
      <c r="BM90" s="160"/>
      <c r="BO90" s="138">
        <v>-444</v>
      </c>
      <c r="BP90" s="138">
        <v>1800</v>
      </c>
      <c r="BQ90" s="139">
        <v>13568</v>
      </c>
      <c r="BR90" s="138">
        <v>9284</v>
      </c>
      <c r="BU90" s="139">
        <v>4284</v>
      </c>
      <c r="BX90" s="139"/>
      <c r="BY90" s="138">
        <v>4284</v>
      </c>
      <c r="BZ90" s="139">
        <v>88309</v>
      </c>
      <c r="CA90" s="139">
        <v>11868</v>
      </c>
      <c r="CB90" s="176"/>
      <c r="CC90" s="138">
        <v>-318</v>
      </c>
      <c r="CD90" s="151">
        <v>-10391</v>
      </c>
      <c r="CE90" s="151">
        <v>-8731</v>
      </c>
      <c r="CF90" s="138">
        <v>138807</v>
      </c>
      <c r="CG90" s="139">
        <v>123530</v>
      </c>
      <c r="CH90" s="139">
        <v>6317</v>
      </c>
      <c r="CI90" s="139">
        <v>8960</v>
      </c>
      <c r="CJ90" s="114">
        <v>18.75</v>
      </c>
      <c r="CK90" s="152"/>
      <c r="CL90" s="138">
        <v>40</v>
      </c>
      <c r="CM90" s="190">
        <v>34913</v>
      </c>
      <c r="CN90" s="146"/>
      <c r="CO90" s="150">
        <v>1.7613767836482839</v>
      </c>
      <c r="CP90" s="150">
        <v>33.18294553003072</v>
      </c>
      <c r="CQ90" s="151">
        <v>-1643.3133789705842</v>
      </c>
      <c r="CR90" s="152"/>
      <c r="CS90" s="152"/>
      <c r="CT90" s="152"/>
      <c r="CU90" s="150">
        <v>77.28464991500212</v>
      </c>
      <c r="CV90" s="151">
        <v>118.00761893850428</v>
      </c>
      <c r="CW90" s="151">
        <v>7.046100935700463</v>
      </c>
      <c r="CX90" s="154">
        <v>6112.995159396213</v>
      </c>
      <c r="CY90" s="146">
        <v>75861</v>
      </c>
      <c r="CZ90" s="139">
        <v>39412</v>
      </c>
      <c r="DA90" s="139">
        <v>185630</v>
      </c>
      <c r="DB90" s="139">
        <v>-146218</v>
      </c>
      <c r="DC90" s="146">
        <v>145147</v>
      </c>
      <c r="DD90" s="146">
        <v>18268</v>
      </c>
      <c r="DE90" s="160"/>
      <c r="DG90" s="138">
        <v>-374</v>
      </c>
      <c r="DH90" s="138">
        <v>943</v>
      </c>
      <c r="DI90" s="139">
        <v>17766</v>
      </c>
      <c r="DJ90" s="138">
        <v>10541</v>
      </c>
      <c r="DM90" s="139">
        <v>7225</v>
      </c>
      <c r="DP90" s="139">
        <v>-1</v>
      </c>
      <c r="DQ90" s="138">
        <v>7224</v>
      </c>
      <c r="DR90" s="139">
        <v>95534</v>
      </c>
      <c r="DS90" s="139">
        <v>13263</v>
      </c>
      <c r="DT90" s="176"/>
      <c r="DU90" s="138">
        <v>2062</v>
      </c>
      <c r="DV90" s="151">
        <v>-9870</v>
      </c>
      <c r="DW90" s="138">
        <v>161</v>
      </c>
      <c r="DX90" s="138">
        <v>145147</v>
      </c>
      <c r="DY90" s="146">
        <v>129210</v>
      </c>
      <c r="DZ90" s="196">
        <v>6812</v>
      </c>
      <c r="EA90" s="146">
        <v>9125</v>
      </c>
      <c r="EB90" s="114">
        <v>18.75</v>
      </c>
      <c r="EC90" s="152"/>
      <c r="ED90" s="138">
        <v>57</v>
      </c>
      <c r="EE90" s="138">
        <v>75295</v>
      </c>
      <c r="EF90" s="138">
        <v>78423</v>
      </c>
      <c r="EG90" s="138">
        <v>81195</v>
      </c>
      <c r="EH90" s="138"/>
      <c r="EI90" s="138"/>
      <c r="EJ90" s="138"/>
      <c r="EK90" s="3">
        <v>-18275</v>
      </c>
      <c r="EL90" s="138">
        <v>789</v>
      </c>
      <c r="EM90" s="138">
        <v>5602</v>
      </c>
      <c r="EN90" s="3">
        <v>-22773</v>
      </c>
      <c r="EO90" s="138">
        <v>240</v>
      </c>
      <c r="EP90" s="138">
        <v>1934</v>
      </c>
      <c r="EQ90" s="3">
        <v>-17413</v>
      </c>
      <c r="ER90" s="138">
        <v>68</v>
      </c>
      <c r="ES90" s="138">
        <v>4243</v>
      </c>
      <c r="ET90" s="163"/>
      <c r="EU90" s="163">
        <v>8700</v>
      </c>
      <c r="EV90" s="138">
        <v>10000</v>
      </c>
      <c r="EW90" s="138">
        <v>8700</v>
      </c>
      <c r="EX90" s="138">
        <v>16000</v>
      </c>
      <c r="EY90" s="138">
        <v>-8000</v>
      </c>
      <c r="EZ90" s="138">
        <v>40149</v>
      </c>
      <c r="FA90" s="138">
        <v>13458</v>
      </c>
      <c r="FB90" s="138">
        <v>26691</v>
      </c>
      <c r="FC90" s="138">
        <v>6552</v>
      </c>
      <c r="FD90" s="138">
        <v>48458</v>
      </c>
      <c r="FE90" s="138">
        <v>14838</v>
      </c>
      <c r="FF90" s="138">
        <v>33620</v>
      </c>
      <c r="FG90" s="138">
        <v>5999</v>
      </c>
      <c r="FH90" s="138">
        <v>46588</v>
      </c>
      <c r="FI90" s="138">
        <v>20307</v>
      </c>
      <c r="FJ90" s="138">
        <v>26281</v>
      </c>
      <c r="FK90" s="138">
        <v>5991</v>
      </c>
      <c r="FL90" s="147">
        <v>3895</v>
      </c>
      <c r="FM90" s="147">
        <v>4686.671885419384</v>
      </c>
      <c r="FO90" s="181">
        <f t="shared" si="3"/>
        <v>6891.2</v>
      </c>
      <c r="FP90" s="179">
        <f t="shared" si="5"/>
        <v>197.3820639876264</v>
      </c>
      <c r="FR90" s="184"/>
      <c r="FV90" s="184">
        <v>16684</v>
      </c>
      <c r="FW90" s="2">
        <f t="shared" si="4"/>
        <v>-16684</v>
      </c>
    </row>
    <row r="91" spans="1:179" ht="12.75">
      <c r="A91" s="82">
        <v>249</v>
      </c>
      <c r="B91" s="80" t="s">
        <v>87</v>
      </c>
      <c r="C91" s="191">
        <v>10574</v>
      </c>
      <c r="D91" s="146"/>
      <c r="E91" s="150">
        <v>1.2757517594369803</v>
      </c>
      <c r="F91" s="150">
        <v>41.7</v>
      </c>
      <c r="G91" s="151">
        <v>-2549</v>
      </c>
      <c r="H91" s="152"/>
      <c r="I91" s="152"/>
      <c r="J91" s="152"/>
      <c r="K91" s="150">
        <v>58.7</v>
      </c>
      <c r="L91" s="151">
        <v>149</v>
      </c>
      <c r="M91" s="151">
        <v>7</v>
      </c>
      <c r="N91" s="154">
        <v>6933.137885379232</v>
      </c>
      <c r="O91" s="146">
        <v>30106</v>
      </c>
      <c r="P91" s="139">
        <v>17317</v>
      </c>
      <c r="Q91" s="139">
        <v>69888</v>
      </c>
      <c r="R91" s="139">
        <v>-52571</v>
      </c>
      <c r="S91" s="146">
        <v>31304</v>
      </c>
      <c r="T91" s="139">
        <v>24804</v>
      </c>
      <c r="U91" s="160"/>
      <c r="W91" s="138">
        <v>-282</v>
      </c>
      <c r="X91" s="138">
        <v>442</v>
      </c>
      <c r="Y91" s="139">
        <v>3697</v>
      </c>
      <c r="Z91" s="138">
        <v>2844</v>
      </c>
      <c r="AC91" s="139">
        <v>853</v>
      </c>
      <c r="AD91" s="139">
        <v>6</v>
      </c>
      <c r="AG91" s="139">
        <v>859</v>
      </c>
      <c r="AH91" s="139">
        <v>6268</v>
      </c>
      <c r="AI91" s="139">
        <v>3062</v>
      </c>
      <c r="AJ91" s="176"/>
      <c r="AK91" s="139">
        <v>576</v>
      </c>
      <c r="AL91" s="151">
        <v>-2835</v>
      </c>
      <c r="AM91" s="151">
        <v>-1310</v>
      </c>
      <c r="AN91" s="146">
        <v>31304</v>
      </c>
      <c r="AO91" s="139">
        <v>26650</v>
      </c>
      <c r="AP91" s="139">
        <v>2817</v>
      </c>
      <c r="AQ91" s="139">
        <v>1837</v>
      </c>
      <c r="AR91" s="114">
        <v>19.75</v>
      </c>
      <c r="AS91" s="152"/>
      <c r="AT91" s="138">
        <v>97</v>
      </c>
      <c r="AU91" s="191">
        <v>10488</v>
      </c>
      <c r="AV91" s="146"/>
      <c r="AW91" s="150">
        <v>0.7578279825604439</v>
      </c>
      <c r="AX91" s="150">
        <v>53.8</v>
      </c>
      <c r="AY91" s="151">
        <v>-3295</v>
      </c>
      <c r="AZ91" s="152"/>
      <c r="BA91" s="152"/>
      <c r="BB91" s="152"/>
      <c r="BC91" s="150">
        <v>51</v>
      </c>
      <c r="BD91" s="151">
        <v>157</v>
      </c>
      <c r="BE91" s="151">
        <v>6</v>
      </c>
      <c r="BF91" s="154">
        <v>9132.723112128147</v>
      </c>
      <c r="BG91" s="146">
        <v>31474</v>
      </c>
      <c r="BH91" s="139">
        <v>17834</v>
      </c>
      <c r="BI91" s="139">
        <v>73377</v>
      </c>
      <c r="BJ91" s="139">
        <v>-55543</v>
      </c>
      <c r="BK91" s="146">
        <v>31065</v>
      </c>
      <c r="BL91" s="146">
        <v>26061</v>
      </c>
      <c r="BM91" s="160"/>
      <c r="BO91" s="138">
        <v>-174</v>
      </c>
      <c r="BP91" s="138">
        <v>316</v>
      </c>
      <c r="BQ91" s="139">
        <v>1725</v>
      </c>
      <c r="BR91" s="138">
        <v>3023</v>
      </c>
      <c r="BT91" s="138">
        <v>382</v>
      </c>
      <c r="BU91" s="139">
        <v>-1680</v>
      </c>
      <c r="BV91" s="139">
        <v>21</v>
      </c>
      <c r="BY91" s="138">
        <v>-1659</v>
      </c>
      <c r="BZ91" s="139">
        <v>4610</v>
      </c>
      <c r="CA91" s="139">
        <v>1196</v>
      </c>
      <c r="CB91" s="176"/>
      <c r="CC91" s="139">
        <v>-1978</v>
      </c>
      <c r="CD91" s="151">
        <v>-2336</v>
      </c>
      <c r="CE91" s="151">
        <v>-7625</v>
      </c>
      <c r="CF91" s="138">
        <v>31065</v>
      </c>
      <c r="CG91" s="139">
        <v>27336</v>
      </c>
      <c r="CH91" s="139">
        <v>1859</v>
      </c>
      <c r="CI91" s="139">
        <v>1870</v>
      </c>
      <c r="CJ91" s="114">
        <v>19.75</v>
      </c>
      <c r="CK91" s="152"/>
      <c r="CL91" s="138">
        <v>145</v>
      </c>
      <c r="CM91" s="190">
        <v>10310</v>
      </c>
      <c r="CN91" s="146"/>
      <c r="CO91" s="150">
        <v>1.8645108473188703</v>
      </c>
      <c r="CP91" s="150">
        <v>54.99389376408526</v>
      </c>
      <c r="CQ91" s="151">
        <v>-3701.163918525703</v>
      </c>
      <c r="CR91" s="152"/>
      <c r="CS91" s="152"/>
      <c r="CT91" s="152"/>
      <c r="CU91" s="150">
        <v>49.693111029681205</v>
      </c>
      <c r="CV91" s="151">
        <v>132.2987390882638</v>
      </c>
      <c r="CW91" s="151">
        <v>5.713990588775393</v>
      </c>
      <c r="CX91" s="154">
        <v>8451.01842870999</v>
      </c>
      <c r="CY91" s="146">
        <v>32580</v>
      </c>
      <c r="CZ91" s="139">
        <v>18702</v>
      </c>
      <c r="DA91" s="139">
        <v>75237</v>
      </c>
      <c r="DB91" s="139">
        <v>-56535</v>
      </c>
      <c r="DC91" s="146">
        <v>33447</v>
      </c>
      <c r="DD91" s="146">
        <v>27278</v>
      </c>
      <c r="DE91" s="160"/>
      <c r="DG91" s="138">
        <v>-41</v>
      </c>
      <c r="DH91" s="138">
        <v>310</v>
      </c>
      <c r="DI91" s="139">
        <v>4459</v>
      </c>
      <c r="DJ91" s="138">
        <v>3216</v>
      </c>
      <c r="DM91" s="139">
        <v>1243</v>
      </c>
      <c r="DN91" s="139">
        <v>10</v>
      </c>
      <c r="DQ91" s="138">
        <v>1253</v>
      </c>
      <c r="DR91" s="139">
        <v>5862</v>
      </c>
      <c r="DS91" s="139">
        <v>4399</v>
      </c>
      <c r="DT91" s="176"/>
      <c r="DU91" s="139">
        <v>-59</v>
      </c>
      <c r="DV91" s="151">
        <v>-2347</v>
      </c>
      <c r="DW91" s="138">
        <v>-3617</v>
      </c>
      <c r="DX91" s="138">
        <v>33447</v>
      </c>
      <c r="DY91" s="146">
        <v>29177</v>
      </c>
      <c r="DZ91" s="196">
        <v>2128</v>
      </c>
      <c r="EA91" s="146">
        <v>2142</v>
      </c>
      <c r="EB91" s="114">
        <v>20.5</v>
      </c>
      <c r="EC91" s="152"/>
      <c r="ED91" s="138">
        <v>78</v>
      </c>
      <c r="EE91" s="138">
        <v>30496</v>
      </c>
      <c r="EF91" s="138">
        <v>31489</v>
      </c>
      <c r="EG91" s="138">
        <v>32689</v>
      </c>
      <c r="EH91" s="138"/>
      <c r="EI91" s="138"/>
      <c r="EJ91" s="138"/>
      <c r="EK91" s="3">
        <v>-5174</v>
      </c>
      <c r="EL91" s="138">
        <v>95</v>
      </c>
      <c r="EM91" s="138">
        <v>707</v>
      </c>
      <c r="EN91" s="3">
        <v>-19863</v>
      </c>
      <c r="EO91" s="138">
        <v>1923</v>
      </c>
      <c r="EP91" s="138">
        <v>9119</v>
      </c>
      <c r="EQ91" s="3">
        <v>-9441</v>
      </c>
      <c r="ER91" s="138">
        <v>1231</v>
      </c>
      <c r="ES91" s="138">
        <v>194</v>
      </c>
      <c r="ET91" s="163"/>
      <c r="EU91" s="163">
        <v>1600</v>
      </c>
      <c r="EV91" s="138">
        <v>3247</v>
      </c>
      <c r="EW91" s="138">
        <v>8000</v>
      </c>
      <c r="EX91" s="138">
        <v>981</v>
      </c>
      <c r="EY91" s="138">
        <v>4500</v>
      </c>
      <c r="EZ91" s="138">
        <v>19890</v>
      </c>
      <c r="FA91" s="138">
        <v>10666</v>
      </c>
      <c r="FB91" s="138">
        <v>9224</v>
      </c>
      <c r="FC91" s="138">
        <v>0</v>
      </c>
      <c r="FD91" s="138">
        <v>28801</v>
      </c>
      <c r="FE91" s="138">
        <v>11453</v>
      </c>
      <c r="FF91" s="138">
        <v>17348</v>
      </c>
      <c r="FG91" s="138">
        <v>0</v>
      </c>
      <c r="FH91" s="138">
        <v>31936</v>
      </c>
      <c r="FI91" s="138">
        <v>10083</v>
      </c>
      <c r="FJ91" s="138">
        <v>21853</v>
      </c>
      <c r="FK91" s="138">
        <v>0</v>
      </c>
      <c r="FL91" s="147">
        <v>5292</v>
      </c>
      <c r="FM91" s="147">
        <v>6277.55530129672</v>
      </c>
      <c r="FO91" s="181">
        <f t="shared" si="3"/>
        <v>1423.2682926829268</v>
      </c>
      <c r="FP91" s="179">
        <f t="shared" si="5"/>
        <v>138.04736107496865</v>
      </c>
      <c r="FR91" s="184"/>
      <c r="FV91" s="184">
        <v>2835</v>
      </c>
      <c r="FW91" s="2">
        <f t="shared" si="4"/>
        <v>-2835</v>
      </c>
    </row>
    <row r="92" spans="1:179" ht="12.75">
      <c r="A92" s="82">
        <v>250</v>
      </c>
      <c r="B92" s="80" t="s">
        <v>88</v>
      </c>
      <c r="C92" s="191">
        <v>2179</v>
      </c>
      <c r="D92" s="146"/>
      <c r="E92" s="150">
        <v>1.4818941504178273</v>
      </c>
      <c r="F92" s="150">
        <v>27.9</v>
      </c>
      <c r="G92" s="151">
        <v>-630</v>
      </c>
      <c r="H92" s="152"/>
      <c r="I92" s="152"/>
      <c r="J92" s="152"/>
      <c r="K92" s="150">
        <v>73.3</v>
      </c>
      <c r="L92" s="151">
        <v>866</v>
      </c>
      <c r="M92" s="151">
        <v>47</v>
      </c>
      <c r="N92" s="154">
        <v>6533.272143184948</v>
      </c>
      <c r="O92" s="146">
        <v>6274</v>
      </c>
      <c r="P92" s="139">
        <v>2194</v>
      </c>
      <c r="Q92" s="139">
        <v>12890</v>
      </c>
      <c r="R92" s="139">
        <v>-10696</v>
      </c>
      <c r="S92" s="146">
        <v>5594</v>
      </c>
      <c r="T92" s="139">
        <v>5452</v>
      </c>
      <c r="U92" s="160"/>
      <c r="W92" s="138">
        <v>-9</v>
      </c>
      <c r="X92" s="138">
        <v>58</v>
      </c>
      <c r="Y92" s="139">
        <v>399</v>
      </c>
      <c r="Z92" s="138">
        <v>407</v>
      </c>
      <c r="AC92" s="139">
        <v>-8</v>
      </c>
      <c r="AG92" s="139">
        <v>-8</v>
      </c>
      <c r="AH92" s="139">
        <v>2514</v>
      </c>
      <c r="AI92" s="139">
        <v>393</v>
      </c>
      <c r="AJ92" s="176"/>
      <c r="AK92" s="139">
        <v>132</v>
      </c>
      <c r="AL92" s="151">
        <v>-226</v>
      </c>
      <c r="AM92" s="151">
        <v>-1019</v>
      </c>
      <c r="AN92" s="146">
        <v>5594</v>
      </c>
      <c r="AO92" s="139">
        <v>4518</v>
      </c>
      <c r="AP92" s="139">
        <v>665</v>
      </c>
      <c r="AQ92" s="139">
        <v>411</v>
      </c>
      <c r="AR92" s="114">
        <v>19.75</v>
      </c>
      <c r="AS92" s="152"/>
      <c r="AT92" s="138">
        <v>213</v>
      </c>
      <c r="AU92" s="191">
        <v>2147</v>
      </c>
      <c r="AV92" s="146"/>
      <c r="AW92" s="150">
        <v>1.7429718875502007</v>
      </c>
      <c r="AX92" s="150">
        <v>32.3</v>
      </c>
      <c r="AY92" s="151">
        <v>-1278</v>
      </c>
      <c r="AZ92" s="152"/>
      <c r="BA92" s="152"/>
      <c r="BB92" s="152"/>
      <c r="BC92" s="150">
        <v>68.8</v>
      </c>
      <c r="BD92" s="151">
        <v>476</v>
      </c>
      <c r="BE92" s="151">
        <v>24</v>
      </c>
      <c r="BF92" s="154">
        <v>7232.883092687472</v>
      </c>
      <c r="BG92" s="146">
        <v>6616</v>
      </c>
      <c r="BH92" s="139">
        <v>2385</v>
      </c>
      <c r="BI92" s="139">
        <v>13467</v>
      </c>
      <c r="BJ92" s="139">
        <v>-11082</v>
      </c>
      <c r="BK92" s="146">
        <v>5581</v>
      </c>
      <c r="BL92" s="146">
        <v>5873</v>
      </c>
      <c r="BM92" s="160"/>
      <c r="BO92" s="138">
        <v>-30</v>
      </c>
      <c r="BP92" s="138">
        <v>45</v>
      </c>
      <c r="BQ92" s="139">
        <v>387</v>
      </c>
      <c r="BR92" s="138">
        <v>554</v>
      </c>
      <c r="BU92" s="139">
        <v>-167</v>
      </c>
      <c r="BV92" s="138">
        <v>-1012</v>
      </c>
      <c r="BW92" s="138">
        <v>1100</v>
      </c>
      <c r="BY92" s="138">
        <v>-79</v>
      </c>
      <c r="BZ92" s="139">
        <v>2435</v>
      </c>
      <c r="CA92" s="139">
        <v>408</v>
      </c>
      <c r="CB92" s="176"/>
      <c r="CC92" s="139">
        <v>-264</v>
      </c>
      <c r="CD92" s="151">
        <v>-202</v>
      </c>
      <c r="CE92" s="151">
        <v>-1351</v>
      </c>
      <c r="CF92" s="138">
        <v>5581</v>
      </c>
      <c r="CG92" s="139">
        <v>4752</v>
      </c>
      <c r="CH92" s="139">
        <v>415</v>
      </c>
      <c r="CI92" s="139">
        <v>414</v>
      </c>
      <c r="CJ92" s="114">
        <v>20.5</v>
      </c>
      <c r="CK92" s="152"/>
      <c r="CL92" s="138">
        <v>130</v>
      </c>
      <c r="CM92" s="190">
        <v>2111</v>
      </c>
      <c r="CN92" s="146"/>
      <c r="CO92" s="150">
        <v>-1.10250569476082</v>
      </c>
      <c r="CP92" s="150">
        <v>46.787220355943106</v>
      </c>
      <c r="CQ92" s="151">
        <v>-2606.3477025106586</v>
      </c>
      <c r="CR92" s="152"/>
      <c r="CS92" s="152"/>
      <c r="CT92" s="152"/>
      <c r="CU92" s="150">
        <v>57.24809589212136</v>
      </c>
      <c r="CV92" s="151">
        <v>241.59166271909046</v>
      </c>
      <c r="CW92" s="151">
        <v>10.583319119904486</v>
      </c>
      <c r="CX92" s="154">
        <v>8332.070108953103</v>
      </c>
      <c r="CY92" s="146">
        <v>6921</v>
      </c>
      <c r="CZ92" s="139">
        <v>2335</v>
      </c>
      <c r="DA92" s="139">
        <v>14514</v>
      </c>
      <c r="DB92" s="139">
        <v>-12179</v>
      </c>
      <c r="DC92" s="146">
        <v>5760</v>
      </c>
      <c r="DD92" s="146">
        <v>5896</v>
      </c>
      <c r="DE92" s="160"/>
      <c r="DG92" s="138">
        <v>-75</v>
      </c>
      <c r="DH92" s="138">
        <v>32</v>
      </c>
      <c r="DI92" s="139">
        <v>-566</v>
      </c>
      <c r="DJ92" s="138">
        <v>748</v>
      </c>
      <c r="DM92" s="139">
        <v>-1314</v>
      </c>
      <c r="DN92" s="138">
        <v>126</v>
      </c>
      <c r="DQ92" s="138">
        <v>-1188</v>
      </c>
      <c r="DR92" s="139">
        <v>1247</v>
      </c>
      <c r="DS92" s="139">
        <v>-604</v>
      </c>
      <c r="DT92" s="176"/>
      <c r="DU92" s="139">
        <v>168</v>
      </c>
      <c r="DV92" s="151">
        <v>-357</v>
      </c>
      <c r="DW92" s="138">
        <v>-2758</v>
      </c>
      <c r="DX92" s="138">
        <v>5760</v>
      </c>
      <c r="DY92" s="146">
        <v>4854</v>
      </c>
      <c r="DZ92" s="196">
        <v>464</v>
      </c>
      <c r="EA92" s="146">
        <v>442</v>
      </c>
      <c r="EB92" s="114">
        <v>20.5</v>
      </c>
      <c r="EC92" s="152"/>
      <c r="ED92" s="138">
        <v>302</v>
      </c>
      <c r="EE92" s="138">
        <v>4707</v>
      </c>
      <c r="EF92" s="138">
        <v>4844</v>
      </c>
      <c r="EG92" s="138">
        <v>5476</v>
      </c>
      <c r="EH92" s="138"/>
      <c r="EI92" s="138"/>
      <c r="EJ92" s="138"/>
      <c r="EK92" s="3">
        <v>-1448</v>
      </c>
      <c r="EL92" s="138"/>
      <c r="EM92" s="138">
        <v>36</v>
      </c>
      <c r="EN92" s="3">
        <v>-1795</v>
      </c>
      <c r="EO92" s="138">
        <v>10</v>
      </c>
      <c r="EP92" s="138">
        <v>26</v>
      </c>
      <c r="EQ92" s="3">
        <v>-2630</v>
      </c>
      <c r="ER92" s="138">
        <v>371</v>
      </c>
      <c r="ES92" s="138">
        <v>105</v>
      </c>
      <c r="ET92" s="163"/>
      <c r="EU92" s="163"/>
      <c r="EV92" s="138">
        <v>1300</v>
      </c>
      <c r="EW92" s="138"/>
      <c r="EX92" s="138">
        <v>2500</v>
      </c>
      <c r="EY92" s="138"/>
      <c r="EZ92" s="138">
        <v>1444</v>
      </c>
      <c r="FA92" s="138">
        <v>1229</v>
      </c>
      <c r="FB92" s="138">
        <v>215</v>
      </c>
      <c r="FC92" s="138">
        <v>129</v>
      </c>
      <c r="FD92" s="138">
        <v>2540</v>
      </c>
      <c r="FE92" s="138">
        <v>2234</v>
      </c>
      <c r="FF92" s="138">
        <v>306</v>
      </c>
      <c r="FG92" s="138">
        <v>144</v>
      </c>
      <c r="FH92" s="138">
        <v>4682</v>
      </c>
      <c r="FI92" s="138">
        <v>4243</v>
      </c>
      <c r="FJ92" s="138">
        <v>439</v>
      </c>
      <c r="FK92" s="138">
        <v>144</v>
      </c>
      <c r="FL92" s="147">
        <v>1163</v>
      </c>
      <c r="FM92" s="147">
        <v>1627.3870517000466</v>
      </c>
      <c r="FO92" s="181">
        <f t="shared" si="3"/>
        <v>236.78048780487805</v>
      </c>
      <c r="FP92" s="179">
        <f t="shared" si="5"/>
        <v>112.16508185925062</v>
      </c>
      <c r="FR92" s="184"/>
      <c r="FV92" s="184">
        <v>226</v>
      </c>
      <c r="FW92" s="2">
        <f t="shared" si="4"/>
        <v>-226</v>
      </c>
    </row>
    <row r="93" spans="1:179" ht="12.75">
      <c r="A93" s="82">
        <v>256</v>
      </c>
      <c r="B93" s="80" t="s">
        <v>89</v>
      </c>
      <c r="C93" s="191">
        <v>1816</v>
      </c>
      <c r="D93" s="146"/>
      <c r="E93" s="150">
        <v>5.1640625</v>
      </c>
      <c r="F93" s="150">
        <v>57.1</v>
      </c>
      <c r="G93" s="151">
        <v>-1963</v>
      </c>
      <c r="H93" s="152"/>
      <c r="I93" s="152"/>
      <c r="J93" s="152"/>
      <c r="K93" s="150">
        <v>60</v>
      </c>
      <c r="L93" s="151">
        <v>561</v>
      </c>
      <c r="M93" s="151">
        <v>23</v>
      </c>
      <c r="N93" s="154">
        <v>8087.555066079295</v>
      </c>
      <c r="O93" s="146">
        <v>6731</v>
      </c>
      <c r="P93" s="139">
        <v>3376</v>
      </c>
      <c r="Q93" s="139">
        <v>13772</v>
      </c>
      <c r="R93" s="139">
        <v>-10396</v>
      </c>
      <c r="S93" s="146">
        <v>4061</v>
      </c>
      <c r="T93" s="139">
        <v>6875</v>
      </c>
      <c r="U93" s="160"/>
      <c r="W93" s="138">
        <v>37</v>
      </c>
      <c r="X93" s="138">
        <v>71</v>
      </c>
      <c r="Y93" s="139">
        <v>648</v>
      </c>
      <c r="Z93" s="138">
        <v>657</v>
      </c>
      <c r="AB93" s="139"/>
      <c r="AC93" s="139">
        <v>-9</v>
      </c>
      <c r="AD93" s="139">
        <v>13</v>
      </c>
      <c r="AG93" s="139">
        <v>4</v>
      </c>
      <c r="AH93" s="139">
        <v>3727</v>
      </c>
      <c r="AI93" s="139">
        <v>625</v>
      </c>
      <c r="AJ93" s="176"/>
      <c r="AK93" s="138">
        <v>-354</v>
      </c>
      <c r="AL93" s="151">
        <v>-115</v>
      </c>
      <c r="AM93" s="151">
        <v>-1079</v>
      </c>
      <c r="AN93" s="146">
        <v>4061</v>
      </c>
      <c r="AO93" s="139">
        <v>3259</v>
      </c>
      <c r="AP93" s="139">
        <v>530</v>
      </c>
      <c r="AQ93" s="139">
        <v>272</v>
      </c>
      <c r="AR93" s="114">
        <v>19.5</v>
      </c>
      <c r="AS93" s="152"/>
      <c r="AT93" s="138">
        <v>94</v>
      </c>
      <c r="AU93" s="191">
        <v>1764</v>
      </c>
      <c r="AV93" s="146"/>
      <c r="AW93" s="150">
        <v>1.2613636363636365</v>
      </c>
      <c r="AX93" s="150">
        <v>59.6</v>
      </c>
      <c r="AY93" s="151">
        <v>-2621</v>
      </c>
      <c r="AZ93" s="152"/>
      <c r="BA93" s="152"/>
      <c r="BB93" s="152"/>
      <c r="BC93" s="150">
        <v>58.5</v>
      </c>
      <c r="BD93" s="151">
        <v>12</v>
      </c>
      <c r="BE93" s="151">
        <v>1</v>
      </c>
      <c r="BF93" s="154">
        <v>9079.36507936508</v>
      </c>
      <c r="BG93" s="146">
        <v>6685</v>
      </c>
      <c r="BH93" s="139">
        <v>2894</v>
      </c>
      <c r="BI93" s="139">
        <v>14072</v>
      </c>
      <c r="BJ93" s="139">
        <v>-11178</v>
      </c>
      <c r="BK93" s="146">
        <v>4079</v>
      </c>
      <c r="BL93" s="146">
        <v>7079</v>
      </c>
      <c r="BM93" s="160"/>
      <c r="BO93" s="138">
        <v>102</v>
      </c>
      <c r="BP93" s="138">
        <v>1</v>
      </c>
      <c r="BQ93" s="139">
        <v>83</v>
      </c>
      <c r="BR93" s="138">
        <v>644</v>
      </c>
      <c r="BT93" s="139"/>
      <c r="BU93" s="139">
        <v>-561</v>
      </c>
      <c r="BV93" s="139">
        <v>13</v>
      </c>
      <c r="BY93" s="138">
        <v>-548</v>
      </c>
      <c r="BZ93" s="139">
        <v>3178</v>
      </c>
      <c r="CA93" s="139">
        <v>69</v>
      </c>
      <c r="CB93" s="176"/>
      <c r="CC93" s="138">
        <v>-74</v>
      </c>
      <c r="CD93" s="151">
        <v>-60</v>
      </c>
      <c r="CE93" s="151">
        <v>-988</v>
      </c>
      <c r="CF93" s="138">
        <v>4079</v>
      </c>
      <c r="CG93" s="139">
        <v>3472</v>
      </c>
      <c r="CH93" s="139">
        <v>327</v>
      </c>
      <c r="CI93" s="139">
        <v>280</v>
      </c>
      <c r="CJ93" s="114">
        <v>20</v>
      </c>
      <c r="CK93" s="152"/>
      <c r="CL93" s="138">
        <v>221</v>
      </c>
      <c r="CM93" s="190">
        <v>1769</v>
      </c>
      <c r="CN93" s="146"/>
      <c r="CO93" s="150">
        <v>27.525</v>
      </c>
      <c r="CP93" s="150">
        <v>58.022579541566884</v>
      </c>
      <c r="CQ93" s="151">
        <v>-2556.8117580553985</v>
      </c>
      <c r="CR93" s="152"/>
      <c r="CS93" s="152"/>
      <c r="CT93" s="152"/>
      <c r="CU93" s="150">
        <v>58.71448034254574</v>
      </c>
      <c r="CV93" s="151">
        <v>89.3159977388355</v>
      </c>
      <c r="CW93" s="151">
        <v>3.873589468027942</v>
      </c>
      <c r="CX93" s="154">
        <v>8416.054267947993</v>
      </c>
      <c r="CY93" s="146">
        <v>6272</v>
      </c>
      <c r="CZ93" s="139">
        <v>2953</v>
      </c>
      <c r="DA93" s="139">
        <v>13723</v>
      </c>
      <c r="DB93" s="139">
        <v>-10770</v>
      </c>
      <c r="DC93" s="146">
        <v>4166</v>
      </c>
      <c r="DD93" s="146">
        <v>7592</v>
      </c>
      <c r="DE93" s="160"/>
      <c r="DG93" s="138">
        <v>93</v>
      </c>
      <c r="DH93" s="138">
        <v>5</v>
      </c>
      <c r="DI93" s="139">
        <v>1086</v>
      </c>
      <c r="DJ93" s="138">
        <v>742</v>
      </c>
      <c r="DL93" s="139"/>
      <c r="DM93" s="139">
        <v>344</v>
      </c>
      <c r="DN93" s="139">
        <v>13</v>
      </c>
      <c r="DQ93" s="138">
        <v>357</v>
      </c>
      <c r="DR93" s="139">
        <v>3535</v>
      </c>
      <c r="DS93" s="139">
        <v>1099</v>
      </c>
      <c r="DT93" s="176"/>
      <c r="DU93" s="138">
        <v>-135</v>
      </c>
      <c r="DV93" s="151">
        <v>-25</v>
      </c>
      <c r="DW93" s="138">
        <v>135</v>
      </c>
      <c r="DX93" s="138">
        <v>4166</v>
      </c>
      <c r="DY93" s="146">
        <v>3453</v>
      </c>
      <c r="DZ93" s="196">
        <v>420</v>
      </c>
      <c r="EA93" s="146">
        <v>293</v>
      </c>
      <c r="EB93" s="114">
        <v>20</v>
      </c>
      <c r="EC93" s="152"/>
      <c r="ED93" s="138">
        <v>31</v>
      </c>
      <c r="EE93" s="138">
        <v>5351</v>
      </c>
      <c r="EF93" s="138">
        <v>5633</v>
      </c>
      <c r="EG93" s="138">
        <v>5663</v>
      </c>
      <c r="EH93" s="138"/>
      <c r="EI93" s="138"/>
      <c r="EJ93" s="138"/>
      <c r="EK93" s="3">
        <v>-2163</v>
      </c>
      <c r="EL93" s="138">
        <v>216</v>
      </c>
      <c r="EM93" s="138">
        <v>243</v>
      </c>
      <c r="EN93" s="3">
        <v>-1907</v>
      </c>
      <c r="EO93" s="138">
        <v>458</v>
      </c>
      <c r="EP93" s="138">
        <v>392</v>
      </c>
      <c r="EQ93" s="3">
        <v>-1217</v>
      </c>
      <c r="ER93" s="138">
        <v>196</v>
      </c>
      <c r="ES93" s="138">
        <v>57</v>
      </c>
      <c r="ET93" s="163"/>
      <c r="EU93" s="163">
        <v>710</v>
      </c>
      <c r="EV93" s="138"/>
      <c r="EW93" s="138">
        <v>470</v>
      </c>
      <c r="EX93" s="138"/>
      <c r="EY93" s="138">
        <v>295</v>
      </c>
      <c r="EZ93" s="138">
        <v>5820</v>
      </c>
      <c r="FA93" s="138">
        <v>25</v>
      </c>
      <c r="FB93" s="138">
        <v>5795</v>
      </c>
      <c r="FC93" s="138">
        <v>0</v>
      </c>
      <c r="FD93" s="138">
        <v>6230</v>
      </c>
      <c r="FE93" s="138">
        <v>25</v>
      </c>
      <c r="FF93" s="138">
        <v>6205</v>
      </c>
      <c r="FG93" s="138">
        <v>100</v>
      </c>
      <c r="FH93" s="138">
        <v>6500</v>
      </c>
      <c r="FI93" s="138">
        <v>0</v>
      </c>
      <c r="FJ93" s="138">
        <v>6500</v>
      </c>
      <c r="FK93" s="138">
        <v>100</v>
      </c>
      <c r="FL93" s="147">
        <v>3736</v>
      </c>
      <c r="FM93" s="147">
        <v>4083.333333333333</v>
      </c>
      <c r="FO93" s="181">
        <f t="shared" si="3"/>
        <v>172.65</v>
      </c>
      <c r="FP93" s="179">
        <f t="shared" si="5"/>
        <v>97.59751271905031</v>
      </c>
      <c r="FR93" s="184"/>
      <c r="FV93" s="184">
        <v>115</v>
      </c>
      <c r="FW93" s="2">
        <f t="shared" si="4"/>
        <v>-115</v>
      </c>
    </row>
    <row r="94" spans="1:179" ht="12.75">
      <c r="A94" s="82">
        <v>257</v>
      </c>
      <c r="B94" s="80" t="s">
        <v>90</v>
      </c>
      <c r="C94" s="191">
        <v>37192</v>
      </c>
      <c r="D94" s="146"/>
      <c r="E94" s="150">
        <v>3.006215907649372</v>
      </c>
      <c r="F94" s="150">
        <v>53.9</v>
      </c>
      <c r="G94" s="151">
        <v>-2227</v>
      </c>
      <c r="H94" s="152"/>
      <c r="I94" s="152"/>
      <c r="J94" s="152"/>
      <c r="K94" s="150">
        <v>45.1</v>
      </c>
      <c r="L94" s="151">
        <v>565</v>
      </c>
      <c r="M94" s="151">
        <v>34</v>
      </c>
      <c r="N94" s="154">
        <v>5594.67089696709</v>
      </c>
      <c r="O94" s="146">
        <v>90404</v>
      </c>
      <c r="P94" s="139">
        <v>35001</v>
      </c>
      <c r="Q94" s="139">
        <v>195433</v>
      </c>
      <c r="R94" s="139">
        <v>-160432</v>
      </c>
      <c r="S94" s="146">
        <v>159223</v>
      </c>
      <c r="T94" s="139">
        <v>25009</v>
      </c>
      <c r="U94" s="160"/>
      <c r="W94" s="138">
        <v>-2441</v>
      </c>
      <c r="X94" s="138">
        <v>1707</v>
      </c>
      <c r="Y94" s="139">
        <v>23066</v>
      </c>
      <c r="Z94" s="138">
        <v>12671</v>
      </c>
      <c r="AC94" s="139">
        <v>10395</v>
      </c>
      <c r="AD94" s="139">
        <v>33</v>
      </c>
      <c r="AE94" s="139"/>
      <c r="AF94" s="139">
        <v>-37</v>
      </c>
      <c r="AG94" s="139">
        <v>10391</v>
      </c>
      <c r="AH94" s="139">
        <v>38824</v>
      </c>
      <c r="AI94" s="139">
        <v>19633</v>
      </c>
      <c r="AJ94" s="176"/>
      <c r="AK94" s="139">
        <v>-5052</v>
      </c>
      <c r="AL94" s="151">
        <v>-7251</v>
      </c>
      <c r="AM94" s="151">
        <v>6816</v>
      </c>
      <c r="AN94" s="146">
        <v>159223</v>
      </c>
      <c r="AO94" s="139">
        <v>142052</v>
      </c>
      <c r="AP94" s="139">
        <v>10314</v>
      </c>
      <c r="AQ94" s="139">
        <v>6857</v>
      </c>
      <c r="AR94" s="114">
        <v>19</v>
      </c>
      <c r="AS94" s="152"/>
      <c r="AT94" s="138">
        <v>21</v>
      </c>
      <c r="AU94" s="191">
        <v>37567</v>
      </c>
      <c r="AV94" s="146"/>
      <c r="AW94" s="150">
        <v>0.6292016806722689</v>
      </c>
      <c r="AX94" s="150">
        <v>57.1</v>
      </c>
      <c r="AY94" s="151">
        <v>-2448</v>
      </c>
      <c r="AZ94" s="152"/>
      <c r="BA94" s="152"/>
      <c r="BB94" s="152"/>
      <c r="BC94" s="150">
        <v>41.8</v>
      </c>
      <c r="BD94" s="151">
        <v>547</v>
      </c>
      <c r="BE94" s="151">
        <v>32</v>
      </c>
      <c r="BF94" s="154">
        <v>6307.104639710384</v>
      </c>
      <c r="BG94" s="146">
        <v>96382</v>
      </c>
      <c r="BH94" s="139">
        <v>34469</v>
      </c>
      <c r="BI94" s="139">
        <v>211089</v>
      </c>
      <c r="BJ94" s="139">
        <v>-176620</v>
      </c>
      <c r="BK94" s="146">
        <v>159413</v>
      </c>
      <c r="BL94" s="146">
        <v>23702</v>
      </c>
      <c r="BM94" s="160"/>
      <c r="BO94" s="138">
        <v>-2237</v>
      </c>
      <c r="BP94" s="138">
        <v>500</v>
      </c>
      <c r="BQ94" s="139">
        <v>4758</v>
      </c>
      <c r="BR94" s="138">
        <v>13111</v>
      </c>
      <c r="BU94" s="139">
        <v>-8353</v>
      </c>
      <c r="BV94" s="139">
        <v>30</v>
      </c>
      <c r="BW94" s="139"/>
      <c r="BX94" s="139">
        <v>-13</v>
      </c>
      <c r="BY94" s="138">
        <v>-8336</v>
      </c>
      <c r="BZ94" s="139">
        <v>30489</v>
      </c>
      <c r="CA94" s="139">
        <v>349</v>
      </c>
      <c r="CB94" s="176"/>
      <c r="CC94" s="139">
        <v>2695</v>
      </c>
      <c r="CD94" s="151">
        <v>-8994</v>
      </c>
      <c r="CE94" s="151">
        <v>-9320</v>
      </c>
      <c r="CF94" s="138">
        <v>159413</v>
      </c>
      <c r="CG94" s="139">
        <v>145945</v>
      </c>
      <c r="CH94" s="139">
        <v>6255</v>
      </c>
      <c r="CI94" s="139">
        <v>7213</v>
      </c>
      <c r="CJ94" s="114">
        <v>19</v>
      </c>
      <c r="CK94" s="152"/>
      <c r="CL94" s="138">
        <v>171</v>
      </c>
      <c r="CM94" s="190">
        <v>37899</v>
      </c>
      <c r="CN94" s="146"/>
      <c r="CO94" s="150">
        <v>0.8312928955666852</v>
      </c>
      <c r="CP94" s="150">
        <v>55.95983336057643</v>
      </c>
      <c r="CQ94" s="151">
        <v>-2610.543813820945</v>
      </c>
      <c r="CR94" s="152"/>
      <c r="CS94" s="152"/>
      <c r="CT94" s="152"/>
      <c r="CU94" s="150">
        <v>39.59129238848061</v>
      </c>
      <c r="CV94" s="151">
        <v>530.8055621520357</v>
      </c>
      <c r="CW94" s="151">
        <v>30.11539297593707</v>
      </c>
      <c r="CX94" s="154">
        <v>6433.388743766327</v>
      </c>
      <c r="CY94" s="146">
        <v>97137</v>
      </c>
      <c r="CZ94" s="139">
        <v>31973</v>
      </c>
      <c r="DA94" s="139">
        <v>217847</v>
      </c>
      <c r="DB94" s="139">
        <v>-185874</v>
      </c>
      <c r="DC94" s="146">
        <v>171133</v>
      </c>
      <c r="DD94" s="146">
        <v>23251</v>
      </c>
      <c r="DE94" s="160"/>
      <c r="DG94" s="138">
        <v>-1868</v>
      </c>
      <c r="DH94" s="138">
        <v>329</v>
      </c>
      <c r="DI94" s="139">
        <v>6971</v>
      </c>
      <c r="DJ94" s="138">
        <v>13552</v>
      </c>
      <c r="DM94" s="139">
        <v>-6581</v>
      </c>
      <c r="DN94" s="139">
        <v>27</v>
      </c>
      <c r="DO94" s="139"/>
      <c r="DP94" s="139">
        <v>141</v>
      </c>
      <c r="DQ94" s="138">
        <v>-6413</v>
      </c>
      <c r="DR94" s="139">
        <v>24076</v>
      </c>
      <c r="DS94" s="139">
        <v>4817</v>
      </c>
      <c r="DT94" s="176"/>
      <c r="DU94" s="139">
        <v>4046</v>
      </c>
      <c r="DV94" s="151">
        <v>-8791</v>
      </c>
      <c r="DW94" s="138">
        <v>-7256</v>
      </c>
      <c r="DX94" s="138">
        <v>171133</v>
      </c>
      <c r="DY94" s="146">
        <v>156326</v>
      </c>
      <c r="DZ94" s="196">
        <v>6451</v>
      </c>
      <c r="EA94" s="146">
        <v>8356</v>
      </c>
      <c r="EB94" s="114">
        <v>19</v>
      </c>
      <c r="EC94" s="152"/>
      <c r="ED94" s="138">
        <v>210</v>
      </c>
      <c r="EE94" s="138">
        <v>73485</v>
      </c>
      <c r="EF94" s="138">
        <v>80594</v>
      </c>
      <c r="EG94" s="138">
        <v>86292</v>
      </c>
      <c r="EH94" s="138"/>
      <c r="EI94" s="138"/>
      <c r="EJ94" s="138"/>
      <c r="EK94" s="3">
        <v>-17643</v>
      </c>
      <c r="EL94" s="138">
        <v>1109</v>
      </c>
      <c r="EM94" s="138">
        <v>3717</v>
      </c>
      <c r="EN94" s="3">
        <v>-14350</v>
      </c>
      <c r="EO94" s="138">
        <v>173</v>
      </c>
      <c r="EP94" s="138">
        <v>4508</v>
      </c>
      <c r="EQ94" s="3">
        <v>-15021</v>
      </c>
      <c r="ER94" s="138">
        <v>234</v>
      </c>
      <c r="ES94" s="138">
        <v>2714</v>
      </c>
      <c r="ET94" s="163"/>
      <c r="EU94" s="163"/>
      <c r="EV94" s="138">
        <v>12500</v>
      </c>
      <c r="EW94" s="138">
        <v>-229</v>
      </c>
      <c r="EX94" s="138">
        <v>10000</v>
      </c>
      <c r="EY94" s="138">
        <v>-204</v>
      </c>
      <c r="EZ94" s="138">
        <v>84849</v>
      </c>
      <c r="FA94" s="138">
        <v>75628</v>
      </c>
      <c r="FB94" s="138">
        <v>9221</v>
      </c>
      <c r="FC94" s="138">
        <v>1450</v>
      </c>
      <c r="FD94" s="138">
        <v>88126</v>
      </c>
      <c r="FE94" s="138">
        <v>79133</v>
      </c>
      <c r="FF94" s="138">
        <v>8993</v>
      </c>
      <c r="FG94" s="138">
        <v>1450</v>
      </c>
      <c r="FH94" s="138">
        <v>89133</v>
      </c>
      <c r="FI94" s="138">
        <v>80342</v>
      </c>
      <c r="FJ94" s="138">
        <v>8791</v>
      </c>
      <c r="FK94" s="138">
        <v>1450</v>
      </c>
      <c r="FL94" s="147">
        <v>3593</v>
      </c>
      <c r="FM94" s="147">
        <v>3711.928021934144</v>
      </c>
      <c r="FO94" s="181">
        <f t="shared" si="3"/>
        <v>8227.684210526315</v>
      </c>
      <c r="FP94" s="179">
        <f t="shared" si="5"/>
        <v>217.0950212545533</v>
      </c>
      <c r="FR94" s="184"/>
      <c r="FV94" s="184">
        <v>7251</v>
      </c>
      <c r="FW94" s="2">
        <f t="shared" si="4"/>
        <v>-7251</v>
      </c>
    </row>
    <row r="95" spans="1:179" ht="12.75">
      <c r="A95" s="82">
        <v>260</v>
      </c>
      <c r="B95" s="80" t="s">
        <v>91</v>
      </c>
      <c r="C95" s="191">
        <v>9153</v>
      </c>
      <c r="D95" s="146"/>
      <c r="E95" s="150">
        <v>-0.09828009828009827</v>
      </c>
      <c r="F95" s="150">
        <v>33.6</v>
      </c>
      <c r="G95" s="151">
        <v>-2359</v>
      </c>
      <c r="H95" s="152"/>
      <c r="I95" s="152"/>
      <c r="J95" s="152"/>
      <c r="K95" s="150">
        <v>24.5</v>
      </c>
      <c r="L95" s="151">
        <v>498</v>
      </c>
      <c r="M95" s="151">
        <v>16</v>
      </c>
      <c r="N95" s="154">
        <v>11695.291161367857</v>
      </c>
      <c r="O95" s="146">
        <v>33540</v>
      </c>
      <c r="P95" s="139">
        <v>51754</v>
      </c>
      <c r="Q95" s="139">
        <v>99625</v>
      </c>
      <c r="R95" s="139">
        <v>-47871</v>
      </c>
      <c r="S95" s="146">
        <v>26007</v>
      </c>
      <c r="T95" s="139">
        <v>21507</v>
      </c>
      <c r="U95" s="160"/>
      <c r="W95" s="138">
        <v>-506</v>
      </c>
      <c r="X95" s="138">
        <v>405</v>
      </c>
      <c r="Y95" s="139">
        <v>-458</v>
      </c>
      <c r="Z95" s="138">
        <v>1861</v>
      </c>
      <c r="AC95" s="139">
        <v>-2319</v>
      </c>
      <c r="AD95" s="139">
        <v>92</v>
      </c>
      <c r="AE95" s="139"/>
      <c r="AG95" s="139">
        <v>-2227</v>
      </c>
      <c r="AH95" s="139">
        <v>-10275</v>
      </c>
      <c r="AI95" s="139">
        <v>-735</v>
      </c>
      <c r="AJ95" s="176"/>
      <c r="AK95" s="139">
        <v>-3791</v>
      </c>
      <c r="AL95" s="151">
        <v>-3565</v>
      </c>
      <c r="AM95" s="151">
        <v>-1848</v>
      </c>
      <c r="AN95" s="146">
        <v>26007</v>
      </c>
      <c r="AO95" s="139">
        <v>22299</v>
      </c>
      <c r="AP95" s="139">
        <v>2125</v>
      </c>
      <c r="AQ95" s="139">
        <v>1583</v>
      </c>
      <c r="AR95" s="114">
        <v>21.25</v>
      </c>
      <c r="AS95" s="152"/>
      <c r="AT95" s="138">
        <v>297</v>
      </c>
      <c r="AU95" s="191">
        <v>9020</v>
      </c>
      <c r="AV95" s="146"/>
      <c r="AW95" s="150">
        <v>0.8402465039108794</v>
      </c>
      <c r="AX95" s="150">
        <v>35.7</v>
      </c>
      <c r="AY95" s="151">
        <v>-2463</v>
      </c>
      <c r="AZ95" s="152"/>
      <c r="BA95" s="152"/>
      <c r="BB95" s="152"/>
      <c r="BC95" s="150">
        <v>29.5</v>
      </c>
      <c r="BD95" s="151">
        <v>498</v>
      </c>
      <c r="BE95" s="151">
        <v>19</v>
      </c>
      <c r="BF95" s="154">
        <v>9464.30155210643</v>
      </c>
      <c r="BG95" s="146">
        <v>32453</v>
      </c>
      <c r="BH95" s="139">
        <v>28974</v>
      </c>
      <c r="BI95" s="139">
        <v>78662</v>
      </c>
      <c r="BJ95" s="139">
        <v>-49688</v>
      </c>
      <c r="BK95" s="146">
        <v>26969</v>
      </c>
      <c r="BL95" s="146">
        <v>25862</v>
      </c>
      <c r="BM95" s="160"/>
      <c r="BO95" s="138">
        <v>-347</v>
      </c>
      <c r="BP95" s="138">
        <v>392</v>
      </c>
      <c r="BQ95" s="139">
        <v>3188</v>
      </c>
      <c r="BR95" s="138">
        <v>1744</v>
      </c>
      <c r="BU95" s="139">
        <v>1444</v>
      </c>
      <c r="BV95" s="139"/>
      <c r="BW95" s="139"/>
      <c r="BY95" s="138">
        <v>1444</v>
      </c>
      <c r="BZ95" s="139">
        <v>-8830</v>
      </c>
      <c r="CA95" s="139">
        <v>3188</v>
      </c>
      <c r="CB95" s="176"/>
      <c r="CC95" s="139">
        <v>3253</v>
      </c>
      <c r="CD95" s="151">
        <v>-3862</v>
      </c>
      <c r="CE95" s="151">
        <v>756</v>
      </c>
      <c r="CF95" s="138">
        <v>26969</v>
      </c>
      <c r="CG95" s="139">
        <v>23844</v>
      </c>
      <c r="CH95" s="139">
        <v>1266</v>
      </c>
      <c r="CI95" s="139">
        <v>1859</v>
      </c>
      <c r="CJ95" s="114">
        <v>21.75</v>
      </c>
      <c r="CK95" s="152"/>
      <c r="CL95" s="138">
        <v>52</v>
      </c>
      <c r="CM95" s="190">
        <v>11197</v>
      </c>
      <c r="CN95" s="146"/>
      <c r="CO95" s="150">
        <v>0.6254646840148699</v>
      </c>
      <c r="CP95" s="150">
        <v>44.0715409001273</v>
      </c>
      <c r="CQ95" s="151">
        <v>-2652.5855139769583</v>
      </c>
      <c r="CR95" s="152"/>
      <c r="CS95" s="152"/>
      <c r="CT95" s="152"/>
      <c r="CU95" s="150">
        <v>33.78416140390097</v>
      </c>
      <c r="CV95" s="151">
        <v>156.29186389211398</v>
      </c>
      <c r="CW95" s="151">
        <v>7.2619061153491975</v>
      </c>
      <c r="CX95" s="154">
        <v>7855.5863177636875</v>
      </c>
      <c r="CY95" s="146">
        <v>31550</v>
      </c>
      <c r="CZ95" s="139">
        <v>10943</v>
      </c>
      <c r="DA95" s="139">
        <v>77268</v>
      </c>
      <c r="DB95" s="139">
        <v>-66325</v>
      </c>
      <c r="DC95" s="146">
        <v>34253</v>
      </c>
      <c r="DD95" s="146">
        <v>34926</v>
      </c>
      <c r="DE95" s="160"/>
      <c r="DG95" s="138">
        <v>-444</v>
      </c>
      <c r="DH95" s="138">
        <v>489</v>
      </c>
      <c r="DI95" s="139">
        <v>2899</v>
      </c>
      <c r="DJ95" s="138">
        <v>2177</v>
      </c>
      <c r="DM95" s="139">
        <v>722</v>
      </c>
      <c r="DN95" s="139">
        <v>96</v>
      </c>
      <c r="DO95" s="139"/>
      <c r="DP95" s="138">
        <v>1</v>
      </c>
      <c r="DQ95" s="138">
        <v>819</v>
      </c>
      <c r="DR95" s="139">
        <v>-11100</v>
      </c>
      <c r="DS95" s="139">
        <v>2659</v>
      </c>
      <c r="DT95" s="176"/>
      <c r="DU95" s="139">
        <v>318</v>
      </c>
      <c r="DV95" s="151">
        <v>-4914</v>
      </c>
      <c r="DW95" s="138">
        <v>-1908</v>
      </c>
      <c r="DX95" s="138">
        <v>34253</v>
      </c>
      <c r="DY95" s="146">
        <v>29634</v>
      </c>
      <c r="DZ95" s="196">
        <v>1836</v>
      </c>
      <c r="EA95" s="146">
        <v>2783</v>
      </c>
      <c r="EB95" s="114">
        <v>21.5</v>
      </c>
      <c r="EC95" s="152"/>
      <c r="ED95" s="138">
        <v>164</v>
      </c>
      <c r="EE95" s="138">
        <v>56578</v>
      </c>
      <c r="EF95" s="138">
        <v>37080</v>
      </c>
      <c r="EG95" s="138">
        <v>37133</v>
      </c>
      <c r="EH95" s="138">
        <v>1100</v>
      </c>
      <c r="EI95" s="138">
        <v>1000</v>
      </c>
      <c r="EJ95" s="138"/>
      <c r="EK95" s="3">
        <v>-1741</v>
      </c>
      <c r="EL95" s="138">
        <v>88</v>
      </c>
      <c r="EM95" s="138">
        <v>540</v>
      </c>
      <c r="EN95" s="3">
        <v>-2464</v>
      </c>
      <c r="EO95" s="138"/>
      <c r="EP95" s="138">
        <v>32</v>
      </c>
      <c r="EQ95" s="3">
        <v>-5268</v>
      </c>
      <c r="ER95" s="138">
        <v>416</v>
      </c>
      <c r="ES95" s="138">
        <v>285</v>
      </c>
      <c r="ET95" s="163">
        <v>6250</v>
      </c>
      <c r="EU95" s="163">
        <v>153</v>
      </c>
      <c r="EV95" s="138"/>
      <c r="EW95" s="138">
        <v>500</v>
      </c>
      <c r="EX95" s="138">
        <v>4000</v>
      </c>
      <c r="EY95" s="138">
        <v>863</v>
      </c>
      <c r="EZ95" s="138">
        <v>22196</v>
      </c>
      <c r="FA95" s="138">
        <v>14634</v>
      </c>
      <c r="FB95" s="138">
        <v>9383</v>
      </c>
      <c r="FC95" s="138">
        <v>108</v>
      </c>
      <c r="FD95" s="138">
        <v>18835</v>
      </c>
      <c r="FE95" s="138">
        <v>14635</v>
      </c>
      <c r="FF95" s="138">
        <v>4200</v>
      </c>
      <c r="FG95" s="138">
        <v>108</v>
      </c>
      <c r="FH95" s="138">
        <v>24420</v>
      </c>
      <c r="FI95" s="138">
        <v>13327</v>
      </c>
      <c r="FJ95" s="138">
        <v>11093</v>
      </c>
      <c r="FK95" s="138">
        <v>108</v>
      </c>
      <c r="FL95" s="147">
        <v>3714</v>
      </c>
      <c r="FM95" s="147">
        <v>0</v>
      </c>
      <c r="FO95" s="181">
        <f t="shared" si="3"/>
        <v>1378.3255813953488</v>
      </c>
      <c r="FP95" s="179">
        <f t="shared" si="5"/>
        <v>123.09775666654897</v>
      </c>
      <c r="FR95" s="184"/>
      <c r="FV95" s="184">
        <v>3565</v>
      </c>
      <c r="FW95" s="2">
        <f t="shared" si="4"/>
        <v>-3565</v>
      </c>
    </row>
    <row r="96" spans="1:179" ht="12.75">
      <c r="A96" s="82">
        <v>261</v>
      </c>
      <c r="B96" s="80" t="s">
        <v>92</v>
      </c>
      <c r="C96" s="191">
        <v>6279</v>
      </c>
      <c r="D96" s="146"/>
      <c r="E96" s="150">
        <v>0.866691015339664</v>
      </c>
      <c r="F96" s="150">
        <v>64.1</v>
      </c>
      <c r="G96" s="151">
        <v>-3817</v>
      </c>
      <c r="H96" s="152"/>
      <c r="I96" s="152"/>
      <c r="J96" s="152"/>
      <c r="K96" s="150">
        <v>43.9</v>
      </c>
      <c r="L96" s="151">
        <v>350</v>
      </c>
      <c r="M96" s="151">
        <v>16</v>
      </c>
      <c r="N96" s="154">
        <v>11174.86860965122</v>
      </c>
      <c r="O96" s="146">
        <v>22220</v>
      </c>
      <c r="P96" s="139">
        <v>6776</v>
      </c>
      <c r="Q96" s="139">
        <v>43195</v>
      </c>
      <c r="R96" s="139">
        <v>-36419</v>
      </c>
      <c r="S96" s="146">
        <v>21169</v>
      </c>
      <c r="T96" s="139">
        <v>16667</v>
      </c>
      <c r="U96" s="160"/>
      <c r="W96" s="138">
        <v>-549</v>
      </c>
      <c r="X96" s="138">
        <v>1224</v>
      </c>
      <c r="Y96" s="139">
        <v>2092</v>
      </c>
      <c r="Z96" s="138">
        <v>2239</v>
      </c>
      <c r="AA96" s="139">
        <v>341</v>
      </c>
      <c r="AB96" s="138">
        <v>309</v>
      </c>
      <c r="AC96" s="139">
        <v>-115</v>
      </c>
      <c r="AD96" s="138">
        <v>99</v>
      </c>
      <c r="AE96" s="139"/>
      <c r="AG96" s="139">
        <v>-16</v>
      </c>
      <c r="AH96" s="139">
        <v>5443</v>
      </c>
      <c r="AI96" s="139">
        <v>1881</v>
      </c>
      <c r="AJ96" s="176"/>
      <c r="AK96" s="138">
        <v>777</v>
      </c>
      <c r="AL96" s="151">
        <v>-2822</v>
      </c>
      <c r="AM96" s="151">
        <v>-1783</v>
      </c>
      <c r="AN96" s="146">
        <v>21169</v>
      </c>
      <c r="AO96" s="139">
        <v>15173</v>
      </c>
      <c r="AP96" s="139">
        <v>1987</v>
      </c>
      <c r="AQ96" s="139">
        <v>4009</v>
      </c>
      <c r="AR96" s="114">
        <v>19</v>
      </c>
      <c r="AS96" s="152"/>
      <c r="AT96" s="138">
        <v>108</v>
      </c>
      <c r="AU96" s="191">
        <v>6388</v>
      </c>
      <c r="AV96" s="146"/>
      <c r="AW96" s="150">
        <v>0.6539483216614345</v>
      </c>
      <c r="AX96" s="150">
        <v>63</v>
      </c>
      <c r="AY96" s="151">
        <v>-3928</v>
      </c>
      <c r="AZ96" s="152"/>
      <c r="BA96" s="152"/>
      <c r="BB96" s="152"/>
      <c r="BC96" s="150">
        <v>42.7</v>
      </c>
      <c r="BD96" s="151">
        <v>413</v>
      </c>
      <c r="BE96" s="151">
        <v>18</v>
      </c>
      <c r="BF96" s="154">
        <v>8398.872886662492</v>
      </c>
      <c r="BG96" s="146">
        <v>23468</v>
      </c>
      <c r="BH96" s="139">
        <v>6041</v>
      </c>
      <c r="BI96" s="139">
        <v>45791</v>
      </c>
      <c r="BJ96" s="139">
        <v>-39750</v>
      </c>
      <c r="BK96" s="146">
        <v>21796</v>
      </c>
      <c r="BL96" s="146">
        <v>19372</v>
      </c>
      <c r="BM96" s="160"/>
      <c r="BO96" s="138">
        <v>-536</v>
      </c>
      <c r="BP96" s="138">
        <v>1285</v>
      </c>
      <c r="BQ96" s="139">
        <v>2167</v>
      </c>
      <c r="BR96" s="138">
        <v>2438</v>
      </c>
      <c r="BS96" s="139">
        <v>181</v>
      </c>
      <c r="BT96" s="138">
        <v>71</v>
      </c>
      <c r="BU96" s="139">
        <v>-161</v>
      </c>
      <c r="BV96" s="138">
        <v>-195</v>
      </c>
      <c r="BW96" s="139">
        <v>298</v>
      </c>
      <c r="BY96" s="138">
        <v>-58</v>
      </c>
      <c r="BZ96" s="139">
        <v>5384</v>
      </c>
      <c r="CA96" s="139">
        <v>1915</v>
      </c>
      <c r="CB96" s="176"/>
      <c r="CC96" s="138">
        <v>-475</v>
      </c>
      <c r="CD96" s="151">
        <v>-3600</v>
      </c>
      <c r="CE96" s="151">
        <v>-1248</v>
      </c>
      <c r="CF96" s="138">
        <v>21796</v>
      </c>
      <c r="CG96" s="139">
        <v>16044</v>
      </c>
      <c r="CH96" s="139">
        <v>1232</v>
      </c>
      <c r="CI96" s="139">
        <v>4520</v>
      </c>
      <c r="CJ96" s="114">
        <v>19</v>
      </c>
      <c r="CK96" s="152"/>
      <c r="CL96" s="138">
        <v>55</v>
      </c>
      <c r="CM96" s="190">
        <v>6478</v>
      </c>
      <c r="CN96" s="146"/>
      <c r="CO96" s="150">
        <v>0.4087241553202219</v>
      </c>
      <c r="CP96" s="150">
        <v>65.75710760217491</v>
      </c>
      <c r="CQ96" s="151">
        <v>-4405.372028403828</v>
      </c>
      <c r="CR96" s="152"/>
      <c r="CS96" s="152"/>
      <c r="CT96" s="152"/>
      <c r="CU96" s="150">
        <v>38.940019041574104</v>
      </c>
      <c r="CV96" s="151">
        <v>249.76844705155912</v>
      </c>
      <c r="CW96" s="151">
        <v>9.956167709088458</v>
      </c>
      <c r="CX96" s="154">
        <v>9156.684161778327</v>
      </c>
      <c r="CY96" s="146">
        <v>24380</v>
      </c>
      <c r="CZ96" s="139">
        <v>6220</v>
      </c>
      <c r="DA96" s="139">
        <v>49645</v>
      </c>
      <c r="DB96" s="139">
        <v>-43425</v>
      </c>
      <c r="DC96" s="146">
        <v>23396</v>
      </c>
      <c r="DD96" s="146">
        <v>20225</v>
      </c>
      <c r="DE96" s="160"/>
      <c r="DG96" s="138">
        <v>-451</v>
      </c>
      <c r="DH96" s="138">
        <v>1425</v>
      </c>
      <c r="DI96" s="139">
        <v>1170</v>
      </c>
      <c r="DJ96" s="138">
        <v>2428</v>
      </c>
      <c r="DK96" s="139"/>
      <c r="DM96" s="139">
        <v>-1258</v>
      </c>
      <c r="DN96" s="138">
        <v>123</v>
      </c>
      <c r="DO96" s="139"/>
      <c r="DQ96" s="138">
        <v>-1135</v>
      </c>
      <c r="DR96" s="139">
        <v>4249</v>
      </c>
      <c r="DS96" s="139">
        <v>945</v>
      </c>
      <c r="DT96" s="176"/>
      <c r="DU96" s="138">
        <v>-585</v>
      </c>
      <c r="DV96" s="151">
        <v>-3515</v>
      </c>
      <c r="DW96" s="138">
        <v>-3713</v>
      </c>
      <c r="DX96" s="138">
        <v>23396</v>
      </c>
      <c r="DY96" s="146">
        <v>17341</v>
      </c>
      <c r="DZ96" s="196">
        <v>1297</v>
      </c>
      <c r="EA96" s="146">
        <v>4758</v>
      </c>
      <c r="EB96" s="114">
        <v>19</v>
      </c>
      <c r="EC96" s="152"/>
      <c r="ED96" s="138">
        <v>212</v>
      </c>
      <c r="EE96" s="138">
        <v>15450</v>
      </c>
      <c r="EF96" s="138">
        <v>16196</v>
      </c>
      <c r="EG96" s="138">
        <v>18666</v>
      </c>
      <c r="EH96" s="138"/>
      <c r="EI96" s="138"/>
      <c r="EJ96" s="138"/>
      <c r="EK96" s="3">
        <v>-4705</v>
      </c>
      <c r="EL96" s="138">
        <v>385</v>
      </c>
      <c r="EM96" s="138">
        <v>656</v>
      </c>
      <c r="EN96" s="3">
        <v>-3697</v>
      </c>
      <c r="EO96" s="138">
        <v>25</v>
      </c>
      <c r="EP96" s="138">
        <v>509</v>
      </c>
      <c r="EQ96" s="3">
        <v>-5604</v>
      </c>
      <c r="ER96" s="138">
        <v>719</v>
      </c>
      <c r="ES96" s="138">
        <v>227</v>
      </c>
      <c r="ET96" s="163">
        <v>2432</v>
      </c>
      <c r="EU96" s="163">
        <v>3188</v>
      </c>
      <c r="EV96" s="138">
        <v>6024</v>
      </c>
      <c r="EW96" s="138">
        <v>-1467</v>
      </c>
      <c r="EX96" s="138">
        <v>5000</v>
      </c>
      <c r="EY96" s="138">
        <v>1377</v>
      </c>
      <c r="EZ96" s="138">
        <v>22680</v>
      </c>
      <c r="FA96" s="138">
        <v>15253</v>
      </c>
      <c r="FB96" s="138">
        <v>7427</v>
      </c>
      <c r="FC96" s="138">
        <v>560</v>
      </c>
      <c r="FD96" s="138">
        <v>23636</v>
      </c>
      <c r="FE96" s="138">
        <v>17677</v>
      </c>
      <c r="FF96" s="138">
        <v>5959</v>
      </c>
      <c r="FG96" s="138">
        <v>467</v>
      </c>
      <c r="FH96" s="138">
        <v>26499</v>
      </c>
      <c r="FI96" s="138">
        <v>19162</v>
      </c>
      <c r="FJ96" s="138">
        <v>7337</v>
      </c>
      <c r="FK96" s="138">
        <v>525</v>
      </c>
      <c r="FL96" s="147">
        <v>9526</v>
      </c>
      <c r="FM96" s="147">
        <v>9081.715716969316</v>
      </c>
      <c r="FO96" s="181">
        <f t="shared" si="3"/>
        <v>912.6842105263158</v>
      </c>
      <c r="FP96" s="179">
        <f t="shared" si="5"/>
        <v>140.88981329520158</v>
      </c>
      <c r="FR96" s="184"/>
      <c r="FV96" s="184">
        <v>2822</v>
      </c>
      <c r="FW96" s="2">
        <f t="shared" si="4"/>
        <v>-2822</v>
      </c>
    </row>
    <row r="97" spans="1:179" ht="12.75">
      <c r="A97" s="82">
        <v>263</v>
      </c>
      <c r="B97" s="80" t="s">
        <v>93</v>
      </c>
      <c r="C97" s="191">
        <v>9063</v>
      </c>
      <c r="D97" s="146"/>
      <c r="E97" s="150">
        <v>0.8319821079116578</v>
      </c>
      <c r="F97" s="150">
        <v>44.2</v>
      </c>
      <c r="G97" s="151">
        <v>-1769</v>
      </c>
      <c r="H97" s="152"/>
      <c r="I97" s="152"/>
      <c r="J97" s="152"/>
      <c r="K97" s="150">
        <v>57.4</v>
      </c>
      <c r="L97" s="151">
        <v>793</v>
      </c>
      <c r="M97" s="151">
        <v>42</v>
      </c>
      <c r="N97" s="154">
        <v>6770.936775902019</v>
      </c>
      <c r="O97" s="146">
        <v>16357</v>
      </c>
      <c r="P97" s="139">
        <v>6610</v>
      </c>
      <c r="Q97" s="139">
        <v>55378</v>
      </c>
      <c r="R97" s="139">
        <v>-48768</v>
      </c>
      <c r="S97" s="146">
        <v>22894</v>
      </c>
      <c r="T97" s="139">
        <v>28119</v>
      </c>
      <c r="U97" s="160"/>
      <c r="W97" s="138">
        <v>-404</v>
      </c>
      <c r="X97" s="138">
        <v>596</v>
      </c>
      <c r="Y97" s="139">
        <v>2437</v>
      </c>
      <c r="Z97" s="138">
        <v>2445</v>
      </c>
      <c r="AC97" s="139">
        <v>-8</v>
      </c>
      <c r="AD97" s="139">
        <v>19</v>
      </c>
      <c r="AG97" s="139">
        <v>11</v>
      </c>
      <c r="AH97" s="139">
        <v>4755</v>
      </c>
      <c r="AI97" s="139">
        <v>2500</v>
      </c>
      <c r="AJ97" s="176"/>
      <c r="AK97" s="139">
        <v>339</v>
      </c>
      <c r="AL97" s="151">
        <v>-3038</v>
      </c>
      <c r="AM97" s="151">
        <v>-1164</v>
      </c>
      <c r="AN97" s="146">
        <v>22894</v>
      </c>
      <c r="AO97" s="139">
        <v>19176</v>
      </c>
      <c r="AP97" s="139">
        <v>2304</v>
      </c>
      <c r="AQ97" s="139">
        <v>1414</v>
      </c>
      <c r="AR97" s="114">
        <v>19.75</v>
      </c>
      <c r="AS97" s="152"/>
      <c r="AT97" s="138">
        <v>153</v>
      </c>
      <c r="AU97" s="191">
        <v>8989</v>
      </c>
      <c r="AV97" s="146"/>
      <c r="AW97" s="150">
        <v>0.3870879120879121</v>
      </c>
      <c r="AX97" s="150">
        <v>46.2</v>
      </c>
      <c r="AY97" s="151">
        <v>-2057</v>
      </c>
      <c r="AZ97" s="152"/>
      <c r="BA97" s="152"/>
      <c r="BB97" s="152"/>
      <c r="BC97" s="150">
        <v>55.4</v>
      </c>
      <c r="BD97" s="151">
        <v>698</v>
      </c>
      <c r="BE97" s="151">
        <v>35</v>
      </c>
      <c r="BF97" s="154">
        <v>7224.162865724774</v>
      </c>
      <c r="BG97" s="146">
        <v>16782</v>
      </c>
      <c r="BH97" s="139">
        <v>6798</v>
      </c>
      <c r="BI97" s="139">
        <v>57403</v>
      </c>
      <c r="BJ97" s="139">
        <v>-50605</v>
      </c>
      <c r="BK97" s="146">
        <v>22433</v>
      </c>
      <c r="BL97" s="146">
        <v>28523</v>
      </c>
      <c r="BM97" s="160"/>
      <c r="BO97" s="138">
        <v>-289</v>
      </c>
      <c r="BP97" s="138">
        <v>1016</v>
      </c>
      <c r="BQ97" s="139">
        <v>1078</v>
      </c>
      <c r="BR97" s="138">
        <v>2406</v>
      </c>
      <c r="BU97" s="139">
        <v>-1328</v>
      </c>
      <c r="BV97" s="139">
        <v>19</v>
      </c>
      <c r="BY97" s="138">
        <v>-1309</v>
      </c>
      <c r="BZ97" s="139">
        <v>3448</v>
      </c>
      <c r="CA97" s="139">
        <v>1071</v>
      </c>
      <c r="CB97" s="176"/>
      <c r="CC97" s="139">
        <v>344</v>
      </c>
      <c r="CD97" s="151">
        <v>-3309</v>
      </c>
      <c r="CE97" s="151">
        <v>-2569</v>
      </c>
      <c r="CF97" s="138">
        <v>22433</v>
      </c>
      <c r="CG97" s="139">
        <v>19550</v>
      </c>
      <c r="CH97" s="139">
        <v>1453</v>
      </c>
      <c r="CI97" s="139">
        <v>1430</v>
      </c>
      <c r="CJ97" s="114">
        <v>19.75</v>
      </c>
      <c r="CK97" s="152"/>
      <c r="CL97" s="138">
        <v>174</v>
      </c>
      <c r="CM97" s="190">
        <v>8866</v>
      </c>
      <c r="CN97" s="146"/>
      <c r="CO97" s="150">
        <v>0.3925091352009744</v>
      </c>
      <c r="CP97" s="150">
        <v>54.1463741192616</v>
      </c>
      <c r="CQ97" s="151">
        <v>-2736.747123843898</v>
      </c>
      <c r="CR97" s="152"/>
      <c r="CS97" s="152"/>
      <c r="CT97" s="152"/>
      <c r="CU97" s="150">
        <v>49.407445275828415</v>
      </c>
      <c r="CV97" s="151">
        <v>704.3762688923979</v>
      </c>
      <c r="CW97" s="151">
        <v>32.48339793649889</v>
      </c>
      <c r="CX97" s="154">
        <v>7914.730430859463</v>
      </c>
      <c r="CY97" s="146">
        <v>17094</v>
      </c>
      <c r="CZ97" s="139">
        <v>6970</v>
      </c>
      <c r="DA97" s="139">
        <v>59686</v>
      </c>
      <c r="DB97" s="139">
        <v>-52716</v>
      </c>
      <c r="DC97" s="146">
        <v>23126</v>
      </c>
      <c r="DD97" s="146">
        <v>29710</v>
      </c>
      <c r="DE97" s="160"/>
      <c r="DG97" s="138">
        <v>-240</v>
      </c>
      <c r="DH97" s="138">
        <v>1141</v>
      </c>
      <c r="DI97" s="139">
        <v>1021</v>
      </c>
      <c r="DJ97" s="138">
        <v>2552</v>
      </c>
      <c r="DM97" s="139">
        <v>-1531</v>
      </c>
      <c r="DN97" s="139">
        <v>19</v>
      </c>
      <c r="DQ97" s="138">
        <v>-1512</v>
      </c>
      <c r="DR97" s="139">
        <v>1936</v>
      </c>
      <c r="DS97" s="139">
        <v>999</v>
      </c>
      <c r="DT97" s="176"/>
      <c r="DU97" s="139">
        <v>54</v>
      </c>
      <c r="DV97" s="151">
        <v>-3016</v>
      </c>
      <c r="DW97" s="138">
        <v>-5815</v>
      </c>
      <c r="DX97" s="138">
        <v>23126</v>
      </c>
      <c r="DY97" s="146">
        <v>20200</v>
      </c>
      <c r="DZ97" s="196">
        <v>1418</v>
      </c>
      <c r="EA97" s="146">
        <v>1508</v>
      </c>
      <c r="EB97" s="114">
        <v>19.75</v>
      </c>
      <c r="EC97" s="152"/>
      <c r="ED97" s="138">
        <v>238</v>
      </c>
      <c r="EE97" s="138">
        <v>34484</v>
      </c>
      <c r="EF97" s="138">
        <v>35794</v>
      </c>
      <c r="EG97" s="138">
        <v>37544</v>
      </c>
      <c r="EH97" s="138"/>
      <c r="EI97" s="138"/>
      <c r="EJ97" s="138"/>
      <c r="EK97" s="3">
        <v>-3910</v>
      </c>
      <c r="EL97" s="138">
        <v>122</v>
      </c>
      <c r="EM97" s="138">
        <v>124</v>
      </c>
      <c r="EN97" s="3">
        <v>-3891</v>
      </c>
      <c r="EO97" s="138">
        <v>150</v>
      </c>
      <c r="EP97" s="138">
        <v>100</v>
      </c>
      <c r="EQ97" s="3">
        <v>-7160</v>
      </c>
      <c r="ER97" s="138">
        <v>318</v>
      </c>
      <c r="ES97" s="138">
        <v>28</v>
      </c>
      <c r="ET97" s="163">
        <v>3500</v>
      </c>
      <c r="EU97" s="163"/>
      <c r="EV97" s="138"/>
      <c r="EW97" s="138">
        <v>3999</v>
      </c>
      <c r="EX97" s="138">
        <v>3000</v>
      </c>
      <c r="EY97" s="138">
        <v>5997</v>
      </c>
      <c r="EZ97" s="138">
        <v>20589</v>
      </c>
      <c r="FA97" s="138">
        <v>17280</v>
      </c>
      <c r="FB97" s="138">
        <v>3309</v>
      </c>
      <c r="FC97" s="138">
        <v>1478</v>
      </c>
      <c r="FD97" s="138">
        <v>21279</v>
      </c>
      <c r="FE97" s="138">
        <v>14338</v>
      </c>
      <c r="FF97" s="138">
        <v>6941</v>
      </c>
      <c r="FG97" s="138">
        <v>1389</v>
      </c>
      <c r="FH97" s="138">
        <v>27260</v>
      </c>
      <c r="FI97" s="138">
        <v>14230</v>
      </c>
      <c r="FJ97" s="138">
        <v>13030</v>
      </c>
      <c r="FK97" s="138">
        <v>1342</v>
      </c>
      <c r="FL97" s="147">
        <v>4294</v>
      </c>
      <c r="FM97" s="147">
        <v>4747.580376015129</v>
      </c>
      <c r="FO97" s="181">
        <f t="shared" si="3"/>
        <v>1022.7848101265823</v>
      </c>
      <c r="FP97" s="179">
        <f t="shared" si="5"/>
        <v>115.36034402510516</v>
      </c>
      <c r="FR97" s="184"/>
      <c r="FV97" s="184">
        <v>3038</v>
      </c>
      <c r="FW97" s="2">
        <f t="shared" si="4"/>
        <v>-3038</v>
      </c>
    </row>
    <row r="98" spans="1:179" ht="12.75">
      <c r="A98" s="82">
        <v>265</v>
      </c>
      <c r="B98" s="80" t="s">
        <v>94</v>
      </c>
      <c r="C98" s="191">
        <v>1334</v>
      </c>
      <c r="D98" s="146"/>
      <c r="E98" s="150">
        <v>0.8718330849478391</v>
      </c>
      <c r="F98" s="150">
        <v>21.6</v>
      </c>
      <c r="G98" s="151">
        <v>-594</v>
      </c>
      <c r="H98" s="152"/>
      <c r="I98" s="152"/>
      <c r="J98" s="152"/>
      <c r="K98" s="150">
        <v>79.2</v>
      </c>
      <c r="L98" s="151">
        <v>690</v>
      </c>
      <c r="M98" s="151">
        <v>31</v>
      </c>
      <c r="N98" s="154">
        <v>12895.052473763119</v>
      </c>
      <c r="O98" s="146">
        <v>2240</v>
      </c>
      <c r="P98" s="139">
        <v>1271</v>
      </c>
      <c r="Q98" s="139">
        <v>9572</v>
      </c>
      <c r="R98" s="139">
        <v>-8301</v>
      </c>
      <c r="S98" s="146">
        <v>3193</v>
      </c>
      <c r="T98" s="139">
        <v>5114</v>
      </c>
      <c r="U98" s="160"/>
      <c r="W98" s="138">
        <v>-1</v>
      </c>
      <c r="X98" s="138">
        <v>6</v>
      </c>
      <c r="Y98" s="139">
        <v>11</v>
      </c>
      <c r="Z98" s="138">
        <v>283</v>
      </c>
      <c r="AA98" s="139"/>
      <c r="AC98" s="139">
        <v>-272</v>
      </c>
      <c r="AG98" s="139">
        <v>-272</v>
      </c>
      <c r="AH98" s="139">
        <v>743</v>
      </c>
      <c r="AI98" s="139">
        <v>-2</v>
      </c>
      <c r="AJ98" s="176"/>
      <c r="AK98" s="139">
        <v>-16</v>
      </c>
      <c r="AL98" s="151">
        <v>-97</v>
      </c>
      <c r="AM98" s="151">
        <v>-1113</v>
      </c>
      <c r="AN98" s="146">
        <v>3193</v>
      </c>
      <c r="AO98" s="139">
        <v>2355</v>
      </c>
      <c r="AP98" s="139">
        <v>577</v>
      </c>
      <c r="AQ98" s="139">
        <v>261</v>
      </c>
      <c r="AR98" s="114">
        <v>19.5</v>
      </c>
      <c r="AS98" s="152"/>
      <c r="AT98" s="138">
        <v>282</v>
      </c>
      <c r="AU98" s="191">
        <v>1303</v>
      </c>
      <c r="AV98" s="146"/>
      <c r="AW98" s="150">
        <v>1.6272727272727272</v>
      </c>
      <c r="AX98" s="150">
        <v>19</v>
      </c>
      <c r="AY98" s="151">
        <v>-860</v>
      </c>
      <c r="AZ98" s="152"/>
      <c r="BA98" s="152"/>
      <c r="BB98" s="152"/>
      <c r="BC98" s="150">
        <v>80.5</v>
      </c>
      <c r="BD98" s="151">
        <v>286</v>
      </c>
      <c r="BE98" s="151">
        <v>13</v>
      </c>
      <c r="BF98" s="154">
        <v>7999.232540291635</v>
      </c>
      <c r="BG98" s="146">
        <v>2337</v>
      </c>
      <c r="BH98" s="139">
        <v>1498</v>
      </c>
      <c r="BI98" s="139">
        <v>9646</v>
      </c>
      <c r="BJ98" s="139">
        <v>-8148</v>
      </c>
      <c r="BK98" s="146">
        <v>3041</v>
      </c>
      <c r="BL98" s="146">
        <v>5272</v>
      </c>
      <c r="BM98" s="160"/>
      <c r="BO98" s="138">
        <v>-2</v>
      </c>
      <c r="BP98" s="138">
        <v>3</v>
      </c>
      <c r="BQ98" s="139">
        <v>166</v>
      </c>
      <c r="BR98" s="138">
        <v>348</v>
      </c>
      <c r="BS98" s="139"/>
      <c r="BU98" s="139">
        <v>-182</v>
      </c>
      <c r="BY98" s="138">
        <v>-182</v>
      </c>
      <c r="BZ98" s="139">
        <v>562</v>
      </c>
      <c r="CA98" s="139">
        <v>166</v>
      </c>
      <c r="CB98" s="176"/>
      <c r="CC98" s="139">
        <v>-11</v>
      </c>
      <c r="CD98" s="151">
        <v>-97</v>
      </c>
      <c r="CE98" s="151">
        <v>-471</v>
      </c>
      <c r="CF98" s="138">
        <v>3041</v>
      </c>
      <c r="CG98" s="139">
        <v>2429</v>
      </c>
      <c r="CH98" s="139">
        <v>347</v>
      </c>
      <c r="CI98" s="139">
        <v>265</v>
      </c>
      <c r="CJ98" s="114">
        <v>20</v>
      </c>
      <c r="CK98" s="152"/>
      <c r="CL98" s="138">
        <v>169</v>
      </c>
      <c r="CM98" s="190">
        <v>1259</v>
      </c>
      <c r="CN98" s="146"/>
      <c r="CO98" s="150">
        <v>0.00980392156862745</v>
      </c>
      <c r="CP98" s="150">
        <v>18.352272727272727</v>
      </c>
      <c r="CQ98" s="151">
        <v>-1076.2509928514694</v>
      </c>
      <c r="CR98" s="152"/>
      <c r="CS98" s="152"/>
      <c r="CT98" s="152"/>
      <c r="CU98" s="150">
        <v>79.1804293971924</v>
      </c>
      <c r="CV98" s="151">
        <v>124.70214455917395</v>
      </c>
      <c r="CW98" s="151">
        <v>5.01531594608787</v>
      </c>
      <c r="CX98" s="154">
        <v>9075.456711675934</v>
      </c>
      <c r="CY98" s="146">
        <v>2369</v>
      </c>
      <c r="CZ98" s="139">
        <v>1676</v>
      </c>
      <c r="DA98" s="139">
        <v>10564</v>
      </c>
      <c r="DB98" s="139">
        <v>-8888</v>
      </c>
      <c r="DC98" s="146">
        <v>3218</v>
      </c>
      <c r="DD98" s="146">
        <v>5666</v>
      </c>
      <c r="DE98" s="160"/>
      <c r="DG98" s="138">
        <v>0</v>
      </c>
      <c r="DH98" s="138">
        <v>0</v>
      </c>
      <c r="DI98" s="139">
        <v>-4</v>
      </c>
      <c r="DJ98" s="138">
        <v>343</v>
      </c>
      <c r="DK98" s="139"/>
      <c r="DM98" s="139">
        <v>-347</v>
      </c>
      <c r="DQ98" s="138">
        <v>-347</v>
      </c>
      <c r="DR98" s="139">
        <v>3578</v>
      </c>
      <c r="DS98" s="139">
        <v>-4</v>
      </c>
      <c r="DT98" s="176"/>
      <c r="DU98" s="139">
        <v>-57</v>
      </c>
      <c r="DV98" s="151">
        <v>-97</v>
      </c>
      <c r="DW98" s="138">
        <v>-454</v>
      </c>
      <c r="DX98" s="138">
        <v>3218</v>
      </c>
      <c r="DY98" s="146">
        <v>2499</v>
      </c>
      <c r="DZ98" s="196">
        <v>441</v>
      </c>
      <c r="EA98" s="146">
        <v>278</v>
      </c>
      <c r="EB98" s="114">
        <v>20</v>
      </c>
      <c r="EC98" s="152"/>
      <c r="ED98" s="138">
        <v>277</v>
      </c>
      <c r="EE98" s="138">
        <v>6515</v>
      </c>
      <c r="EF98" s="138">
        <v>6466</v>
      </c>
      <c r="EG98" s="138">
        <v>7284</v>
      </c>
      <c r="EH98" s="138"/>
      <c r="EI98" s="138"/>
      <c r="EJ98" s="138"/>
      <c r="EK98" s="3">
        <v>-1136</v>
      </c>
      <c r="EL98" s="138"/>
      <c r="EM98" s="138">
        <v>25</v>
      </c>
      <c r="EN98" s="3">
        <v>-666</v>
      </c>
      <c r="EO98" s="138">
        <v>10</v>
      </c>
      <c r="EP98" s="138">
        <v>19</v>
      </c>
      <c r="EQ98" s="3">
        <v>-757</v>
      </c>
      <c r="ER98" s="138">
        <v>55</v>
      </c>
      <c r="ES98" s="138">
        <v>252</v>
      </c>
      <c r="ET98" s="163"/>
      <c r="EU98" s="163"/>
      <c r="EV98" s="138"/>
      <c r="EW98" s="138"/>
      <c r="EX98" s="138"/>
      <c r="EY98" s="138"/>
      <c r="EZ98" s="138">
        <v>1241</v>
      </c>
      <c r="FA98" s="138">
        <v>1144</v>
      </c>
      <c r="FB98" s="138">
        <v>97</v>
      </c>
      <c r="FC98" s="138">
        <v>1052</v>
      </c>
      <c r="FD98" s="138">
        <v>1144</v>
      </c>
      <c r="FE98" s="138">
        <v>1047</v>
      </c>
      <c r="FF98" s="138">
        <v>97</v>
      </c>
      <c r="FG98" s="138">
        <v>910</v>
      </c>
      <c r="FH98" s="138">
        <v>1047</v>
      </c>
      <c r="FI98" s="138">
        <v>950</v>
      </c>
      <c r="FJ98" s="138">
        <v>97</v>
      </c>
      <c r="FK98" s="138">
        <v>691</v>
      </c>
      <c r="FL98" s="147">
        <v>2645</v>
      </c>
      <c r="FM98" s="147">
        <v>2462.0107444359173</v>
      </c>
      <c r="FO98" s="181">
        <f t="shared" si="3"/>
        <v>124.95</v>
      </c>
      <c r="FP98" s="179">
        <f t="shared" si="5"/>
        <v>99.24543288324067</v>
      </c>
      <c r="FR98" s="184"/>
      <c r="FV98" s="184">
        <v>97</v>
      </c>
      <c r="FW98" s="2">
        <f t="shared" si="4"/>
        <v>-97</v>
      </c>
    </row>
    <row r="99" spans="1:179" ht="12.75">
      <c r="A99" s="82">
        <v>271</v>
      </c>
      <c r="B99" s="80" t="s">
        <v>95</v>
      </c>
      <c r="C99" s="191">
        <v>7922</v>
      </c>
      <c r="D99" s="146"/>
      <c r="E99" s="150">
        <v>0.5303430079155673</v>
      </c>
      <c r="F99" s="150">
        <v>42.2</v>
      </c>
      <c r="G99" s="151">
        <v>-2030</v>
      </c>
      <c r="H99" s="152"/>
      <c r="I99" s="152"/>
      <c r="J99" s="152"/>
      <c r="K99" s="150">
        <v>40.4</v>
      </c>
      <c r="L99" s="151">
        <v>242</v>
      </c>
      <c r="M99" s="151">
        <v>14</v>
      </c>
      <c r="N99" s="154">
        <v>6641.504670537743</v>
      </c>
      <c r="O99" s="146">
        <v>16376</v>
      </c>
      <c r="P99" s="139">
        <v>5537</v>
      </c>
      <c r="Q99" s="139">
        <v>45323</v>
      </c>
      <c r="R99" s="139">
        <v>-39786</v>
      </c>
      <c r="S99" s="146">
        <v>24043</v>
      </c>
      <c r="T99" s="139">
        <v>17042</v>
      </c>
      <c r="U99" s="160"/>
      <c r="W99" s="138">
        <v>-293</v>
      </c>
      <c r="X99" s="138">
        <v>147</v>
      </c>
      <c r="Y99" s="139">
        <v>1153</v>
      </c>
      <c r="Z99" s="138">
        <v>968</v>
      </c>
      <c r="AB99" s="139"/>
      <c r="AC99" s="139">
        <v>185</v>
      </c>
      <c r="AG99" s="139">
        <v>185</v>
      </c>
      <c r="AH99" s="139">
        <v>1595</v>
      </c>
      <c r="AI99" s="139">
        <v>993</v>
      </c>
      <c r="AJ99" s="176"/>
      <c r="AK99" s="139">
        <v>183</v>
      </c>
      <c r="AL99" s="151">
        <v>-2577</v>
      </c>
      <c r="AM99" s="151">
        <v>-851</v>
      </c>
      <c r="AN99" s="146">
        <v>24043</v>
      </c>
      <c r="AO99" s="139">
        <v>19942</v>
      </c>
      <c r="AP99" s="139">
        <v>2322</v>
      </c>
      <c r="AQ99" s="139">
        <v>1779</v>
      </c>
      <c r="AR99" s="114">
        <v>19.75</v>
      </c>
      <c r="AS99" s="152"/>
      <c r="AT99" s="138">
        <v>235</v>
      </c>
      <c r="AU99" s="191">
        <v>7893</v>
      </c>
      <c r="AV99" s="146"/>
      <c r="AW99" s="150">
        <v>0.12116418854792788</v>
      </c>
      <c r="AX99" s="150">
        <v>44.2</v>
      </c>
      <c r="AY99" s="151">
        <v>-2231</v>
      </c>
      <c r="AZ99" s="152"/>
      <c r="BA99" s="152"/>
      <c r="BB99" s="152"/>
      <c r="BC99" s="150">
        <v>37.1</v>
      </c>
      <c r="BD99" s="151">
        <v>230</v>
      </c>
      <c r="BE99" s="151">
        <v>13</v>
      </c>
      <c r="BF99" s="154">
        <v>6652.350183707083</v>
      </c>
      <c r="BG99" s="146">
        <v>16987</v>
      </c>
      <c r="BH99" s="139">
        <v>6131</v>
      </c>
      <c r="BI99" s="139">
        <v>47591</v>
      </c>
      <c r="BJ99" s="139">
        <v>-41460</v>
      </c>
      <c r="BK99" s="146">
        <v>24108</v>
      </c>
      <c r="BL99" s="146">
        <v>17630</v>
      </c>
      <c r="BM99" s="160"/>
      <c r="BO99" s="138">
        <v>-263</v>
      </c>
      <c r="BP99" s="138">
        <v>95</v>
      </c>
      <c r="BQ99" s="139">
        <v>110</v>
      </c>
      <c r="BR99" s="138">
        <v>1030</v>
      </c>
      <c r="BT99" s="139"/>
      <c r="BU99" s="139">
        <v>-920</v>
      </c>
      <c r="BY99" s="138">
        <v>-920</v>
      </c>
      <c r="BZ99" s="139">
        <v>676</v>
      </c>
      <c r="CA99" s="139">
        <v>94</v>
      </c>
      <c r="CB99" s="176"/>
      <c r="CC99" s="139">
        <v>-26</v>
      </c>
      <c r="CD99" s="151">
        <v>-2888</v>
      </c>
      <c r="CE99" s="151">
        <v>-1528</v>
      </c>
      <c r="CF99" s="138">
        <v>24108</v>
      </c>
      <c r="CG99" s="139">
        <v>20841</v>
      </c>
      <c r="CH99" s="139">
        <v>1413</v>
      </c>
      <c r="CI99" s="139">
        <v>1854</v>
      </c>
      <c r="CJ99" s="114">
        <v>19.75</v>
      </c>
      <c r="CK99" s="152"/>
      <c r="CL99" s="138">
        <v>231</v>
      </c>
      <c r="CM99" s="190">
        <v>7769</v>
      </c>
      <c r="CN99" s="146"/>
      <c r="CO99" s="150">
        <v>0.25943396226415094</v>
      </c>
      <c r="CP99" s="150">
        <v>45.83984573226429</v>
      </c>
      <c r="CQ99" s="151">
        <v>-2388.853134251512</v>
      </c>
      <c r="CR99" s="152"/>
      <c r="CS99" s="152"/>
      <c r="CT99" s="152"/>
      <c r="CU99" s="150">
        <v>35.82243250765377</v>
      </c>
      <c r="CV99" s="151">
        <v>326.554254086755</v>
      </c>
      <c r="CW99" s="151">
        <v>16.58051173700514</v>
      </c>
      <c r="CX99" s="154">
        <v>7188.698674218046</v>
      </c>
      <c r="CY99" s="146">
        <v>17451</v>
      </c>
      <c r="CZ99" s="139">
        <v>6212</v>
      </c>
      <c r="DA99" s="139">
        <v>48601</v>
      </c>
      <c r="DB99" s="139">
        <v>-42389</v>
      </c>
      <c r="DC99" s="146">
        <v>25149</v>
      </c>
      <c r="DD99" s="146">
        <v>17904</v>
      </c>
      <c r="DE99" s="160"/>
      <c r="DG99" s="138">
        <v>-133</v>
      </c>
      <c r="DH99" s="138">
        <v>-11</v>
      </c>
      <c r="DI99" s="139">
        <v>520</v>
      </c>
      <c r="DJ99" s="138">
        <v>1173</v>
      </c>
      <c r="DK99" s="138">
        <v>692</v>
      </c>
      <c r="DL99" s="139"/>
      <c r="DM99" s="139">
        <v>39</v>
      </c>
      <c r="DQ99" s="138">
        <v>39</v>
      </c>
      <c r="DR99" s="139">
        <v>714</v>
      </c>
      <c r="DS99" s="139">
        <v>1113</v>
      </c>
      <c r="DT99" s="176"/>
      <c r="DU99" s="139">
        <v>232</v>
      </c>
      <c r="DV99" s="151">
        <v>-2404</v>
      </c>
      <c r="DW99" s="138">
        <v>123</v>
      </c>
      <c r="DX99" s="138">
        <v>25149</v>
      </c>
      <c r="DY99" s="146">
        <v>21902</v>
      </c>
      <c r="DZ99" s="196">
        <v>1338</v>
      </c>
      <c r="EA99" s="146">
        <v>1909</v>
      </c>
      <c r="EB99" s="114">
        <v>20.25</v>
      </c>
      <c r="EC99" s="152"/>
      <c r="ED99" s="138">
        <v>255</v>
      </c>
      <c r="EE99" s="138">
        <v>25170</v>
      </c>
      <c r="EF99" s="138">
        <v>26790</v>
      </c>
      <c r="EG99" s="138">
        <v>27384</v>
      </c>
      <c r="EH99" s="138"/>
      <c r="EI99" s="138"/>
      <c r="EJ99" s="138"/>
      <c r="EK99" s="3">
        <v>-2124</v>
      </c>
      <c r="EL99" s="138">
        <v>44</v>
      </c>
      <c r="EM99" s="138">
        <v>236</v>
      </c>
      <c r="EN99" s="3">
        <v>-1753</v>
      </c>
      <c r="EO99" s="138">
        <v>110</v>
      </c>
      <c r="EP99" s="138">
        <v>21</v>
      </c>
      <c r="EQ99" s="3">
        <v>-3542</v>
      </c>
      <c r="ER99" s="138">
        <v>23</v>
      </c>
      <c r="ES99" s="138">
        <v>2529</v>
      </c>
      <c r="ET99" s="163">
        <v>3600</v>
      </c>
      <c r="EU99" s="163">
        <v>500</v>
      </c>
      <c r="EV99" s="138"/>
      <c r="EW99" s="138">
        <v>4000</v>
      </c>
      <c r="EX99" s="138">
        <v>3800</v>
      </c>
      <c r="EY99" s="138">
        <v>-100</v>
      </c>
      <c r="EZ99" s="138">
        <v>14715</v>
      </c>
      <c r="FA99" s="138">
        <v>9676</v>
      </c>
      <c r="FB99" s="138">
        <v>5039</v>
      </c>
      <c r="FC99" s="138">
        <v>242</v>
      </c>
      <c r="FD99" s="138">
        <v>15828</v>
      </c>
      <c r="FE99" s="138">
        <v>7362</v>
      </c>
      <c r="FF99" s="138">
        <v>8466</v>
      </c>
      <c r="FG99" s="138">
        <v>222</v>
      </c>
      <c r="FH99" s="138">
        <v>17123</v>
      </c>
      <c r="FI99" s="138">
        <v>8655</v>
      </c>
      <c r="FJ99" s="138">
        <v>8468</v>
      </c>
      <c r="FK99" s="138">
        <v>1246</v>
      </c>
      <c r="FL99" s="147">
        <v>3108</v>
      </c>
      <c r="FM99" s="147">
        <v>3100.975547953883</v>
      </c>
      <c r="FO99" s="181">
        <f t="shared" si="3"/>
        <v>1081.5802469135801</v>
      </c>
      <c r="FP99" s="179">
        <f t="shared" si="5"/>
        <v>139.21743427900373</v>
      </c>
      <c r="FR99" s="184"/>
      <c r="FV99" s="184">
        <v>2577</v>
      </c>
      <c r="FW99" s="2">
        <f t="shared" si="4"/>
        <v>-2577</v>
      </c>
    </row>
    <row r="100" spans="1:179" ht="12.75">
      <c r="A100" s="82">
        <v>272</v>
      </c>
      <c r="B100" s="80" t="s">
        <v>96</v>
      </c>
      <c r="C100" s="191">
        <v>46585</v>
      </c>
      <c r="D100" s="146"/>
      <c r="E100" s="150">
        <v>0.5124729064039409</v>
      </c>
      <c r="F100" s="150">
        <v>72.8</v>
      </c>
      <c r="G100" s="151">
        <v>-4872</v>
      </c>
      <c r="H100" s="152"/>
      <c r="I100" s="152"/>
      <c r="J100" s="152"/>
      <c r="K100" s="150">
        <v>38.4</v>
      </c>
      <c r="L100" s="151">
        <v>122</v>
      </c>
      <c r="M100" s="151">
        <v>5</v>
      </c>
      <c r="N100" s="154">
        <v>7438.359987120318</v>
      </c>
      <c r="O100" s="146">
        <v>155509</v>
      </c>
      <c r="P100" s="139">
        <v>134951</v>
      </c>
      <c r="Q100" s="139">
        <v>343413</v>
      </c>
      <c r="R100" s="139">
        <v>-208462</v>
      </c>
      <c r="S100" s="146">
        <v>155226</v>
      </c>
      <c r="T100" s="139">
        <v>68263</v>
      </c>
      <c r="U100" s="160"/>
      <c r="W100" s="138">
        <v>-3680</v>
      </c>
      <c r="X100" s="138">
        <v>1639</v>
      </c>
      <c r="Y100" s="139">
        <v>12986</v>
      </c>
      <c r="Z100" s="138">
        <v>16942</v>
      </c>
      <c r="AA100" s="139"/>
      <c r="AC100" s="139">
        <v>-3956</v>
      </c>
      <c r="AD100" s="139">
        <v>-3695</v>
      </c>
      <c r="AE100" s="139">
        <v>4343</v>
      </c>
      <c r="AF100" s="139">
        <v>248</v>
      </c>
      <c r="AG100" s="139">
        <v>-3060</v>
      </c>
      <c r="AH100" s="139">
        <v>15215</v>
      </c>
      <c r="AI100" s="139">
        <v>11451</v>
      </c>
      <c r="AJ100" s="176"/>
      <c r="AK100" s="139">
        <v>-4064</v>
      </c>
      <c r="AL100" s="151">
        <v>-25357</v>
      </c>
      <c r="AM100" s="151">
        <v>-42996</v>
      </c>
      <c r="AN100" s="146">
        <v>155226</v>
      </c>
      <c r="AO100" s="139">
        <v>129459</v>
      </c>
      <c r="AP100" s="139">
        <v>16131</v>
      </c>
      <c r="AQ100" s="139">
        <v>9636</v>
      </c>
      <c r="AR100" s="114">
        <v>19.75</v>
      </c>
      <c r="AS100" s="152"/>
      <c r="AT100" s="138">
        <v>143</v>
      </c>
      <c r="AU100" s="191">
        <v>46773</v>
      </c>
      <c r="AV100" s="146"/>
      <c r="AW100" s="150">
        <v>0.39129480815117523</v>
      </c>
      <c r="AX100" s="150">
        <v>81.7</v>
      </c>
      <c r="AY100" s="151">
        <v>-5508</v>
      </c>
      <c r="AZ100" s="152"/>
      <c r="BA100" s="152"/>
      <c r="BB100" s="152"/>
      <c r="BC100" s="150">
        <v>34</v>
      </c>
      <c r="BD100" s="151">
        <v>276</v>
      </c>
      <c r="BE100" s="151">
        <v>11</v>
      </c>
      <c r="BF100" s="154">
        <v>9393.175549996793</v>
      </c>
      <c r="BG100" s="146">
        <v>164644</v>
      </c>
      <c r="BH100" s="139">
        <v>139070</v>
      </c>
      <c r="BI100" s="139">
        <v>361160</v>
      </c>
      <c r="BJ100" s="139">
        <v>-222090</v>
      </c>
      <c r="BK100" s="146">
        <v>156033</v>
      </c>
      <c r="BL100" s="146">
        <v>73406</v>
      </c>
      <c r="BM100" s="160"/>
      <c r="BO100" s="138">
        <v>-3515</v>
      </c>
      <c r="BP100" s="138">
        <v>6846</v>
      </c>
      <c r="BQ100" s="139">
        <v>10680</v>
      </c>
      <c r="BR100" s="138">
        <v>18760</v>
      </c>
      <c r="BS100" s="139"/>
      <c r="BU100" s="139">
        <v>-8080</v>
      </c>
      <c r="BV100" s="139">
        <v>-548</v>
      </c>
      <c r="BW100" s="139">
        <v>1001</v>
      </c>
      <c r="BX100" s="139">
        <v>98</v>
      </c>
      <c r="BY100" s="138">
        <v>-7529</v>
      </c>
      <c r="BZ100" s="139">
        <v>7687</v>
      </c>
      <c r="CA100" s="139">
        <v>8599</v>
      </c>
      <c r="CB100" s="176"/>
      <c r="CC100" s="139">
        <v>-1878</v>
      </c>
      <c r="CD100" s="151">
        <v>-32874</v>
      </c>
      <c r="CE100" s="151">
        <v>-30798</v>
      </c>
      <c r="CF100" s="138">
        <v>156033</v>
      </c>
      <c r="CG100" s="139">
        <v>133839</v>
      </c>
      <c r="CH100" s="139">
        <v>12203</v>
      </c>
      <c r="CI100" s="139">
        <v>9991</v>
      </c>
      <c r="CJ100" s="114">
        <v>19.75</v>
      </c>
      <c r="CK100" s="152"/>
      <c r="CL100" s="138">
        <v>96</v>
      </c>
      <c r="CM100" s="190">
        <v>47031</v>
      </c>
      <c r="CN100" s="146"/>
      <c r="CO100" s="150">
        <v>0.623819953175742</v>
      </c>
      <c r="CP100" s="150">
        <v>82.1067604810953</v>
      </c>
      <c r="CQ100" s="151">
        <v>-5773.064574429632</v>
      </c>
      <c r="CR100" s="152"/>
      <c r="CS100" s="152"/>
      <c r="CT100" s="152"/>
      <c r="CU100" s="150">
        <v>32.35186664437468</v>
      </c>
      <c r="CV100" s="151">
        <v>405.8387021326359</v>
      </c>
      <c r="CW100" s="151">
        <v>15.538722153327326</v>
      </c>
      <c r="CX100" s="154">
        <v>9533.031404818099</v>
      </c>
      <c r="CY100" s="146">
        <v>168099</v>
      </c>
      <c r="CZ100" s="139">
        <v>147465</v>
      </c>
      <c r="DA100" s="139">
        <v>371841</v>
      </c>
      <c r="DB100" s="139">
        <v>-224376</v>
      </c>
      <c r="DC100" s="146">
        <v>171672</v>
      </c>
      <c r="DD100" s="146">
        <v>76445</v>
      </c>
      <c r="DE100" s="160"/>
      <c r="DG100" s="138">
        <v>-2475</v>
      </c>
      <c r="DH100" s="138">
        <v>952</v>
      </c>
      <c r="DI100" s="139">
        <v>22218</v>
      </c>
      <c r="DJ100" s="138">
        <v>21715</v>
      </c>
      <c r="DK100" s="139"/>
      <c r="DM100" s="139">
        <v>503</v>
      </c>
      <c r="DN100" s="139">
        <v>2730</v>
      </c>
      <c r="DO100" s="139"/>
      <c r="DP100" s="139">
        <v>-31</v>
      </c>
      <c r="DQ100" s="138">
        <v>3202</v>
      </c>
      <c r="DR100" s="139">
        <v>10889</v>
      </c>
      <c r="DS100" s="139">
        <v>20020</v>
      </c>
      <c r="DT100" s="176"/>
      <c r="DU100" s="139">
        <v>-3865</v>
      </c>
      <c r="DV100" s="151">
        <v>-37161</v>
      </c>
      <c r="DW100" s="138">
        <v>-14152</v>
      </c>
      <c r="DX100" s="138">
        <v>171672</v>
      </c>
      <c r="DY100" s="146">
        <v>146444</v>
      </c>
      <c r="DZ100" s="196">
        <v>13763</v>
      </c>
      <c r="EA100" s="146">
        <v>11465</v>
      </c>
      <c r="EB100" s="114">
        <v>20.5</v>
      </c>
      <c r="EC100" s="152"/>
      <c r="ED100" s="138">
        <v>66</v>
      </c>
      <c r="EE100" s="138">
        <v>119439</v>
      </c>
      <c r="EF100" s="138">
        <v>127771</v>
      </c>
      <c r="EG100" s="138">
        <v>132323</v>
      </c>
      <c r="EH100" s="138"/>
      <c r="EI100" s="138"/>
      <c r="EJ100" s="138"/>
      <c r="EK100" s="3">
        <v>-60268</v>
      </c>
      <c r="EL100" s="138">
        <v>3757</v>
      </c>
      <c r="EM100" s="138">
        <v>2064</v>
      </c>
      <c r="EN100" s="3">
        <v>-43600</v>
      </c>
      <c r="EO100" s="138">
        <v>902</v>
      </c>
      <c r="EP100" s="138">
        <v>3301</v>
      </c>
      <c r="EQ100" s="3">
        <v>-38476</v>
      </c>
      <c r="ER100" s="138">
        <v>1592</v>
      </c>
      <c r="ES100" s="138">
        <v>2712</v>
      </c>
      <c r="ET100" s="163">
        <v>61992</v>
      </c>
      <c r="EU100" s="163">
        <v>-928</v>
      </c>
      <c r="EV100" s="138">
        <v>69802</v>
      </c>
      <c r="EW100" s="138">
        <v>1273</v>
      </c>
      <c r="EX100" s="138">
        <v>65605</v>
      </c>
      <c r="EY100" s="138">
        <v>-10430</v>
      </c>
      <c r="EZ100" s="138">
        <v>194716</v>
      </c>
      <c r="FA100" s="138">
        <v>161269</v>
      </c>
      <c r="FB100" s="138">
        <v>33447</v>
      </c>
      <c r="FC100" s="138">
        <v>3514</v>
      </c>
      <c r="FD100" s="138">
        <v>232916</v>
      </c>
      <c r="FE100" s="138">
        <v>188060</v>
      </c>
      <c r="FF100" s="138">
        <v>44856</v>
      </c>
      <c r="FG100" s="138">
        <v>2725</v>
      </c>
      <c r="FH100" s="138">
        <v>250931</v>
      </c>
      <c r="FI100" s="138">
        <v>212037</v>
      </c>
      <c r="FJ100" s="138">
        <v>38894</v>
      </c>
      <c r="FK100" s="138">
        <v>2838</v>
      </c>
      <c r="FL100" s="147">
        <v>7140</v>
      </c>
      <c r="FM100" s="147">
        <v>7949.436640797041</v>
      </c>
      <c r="FO100" s="181">
        <f t="shared" si="3"/>
        <v>7143.609756097561</v>
      </c>
      <c r="FP100" s="179">
        <f t="shared" si="5"/>
        <v>151.89151317423745</v>
      </c>
      <c r="FR100" s="184"/>
      <c r="FV100" s="184">
        <v>25357</v>
      </c>
      <c r="FW100" s="2">
        <f t="shared" si="4"/>
        <v>-25357</v>
      </c>
    </row>
    <row r="101" spans="2:179" ht="12.75">
      <c r="B101" s="86" t="s">
        <v>403</v>
      </c>
      <c r="C101" s="191">
        <v>5372913</v>
      </c>
      <c r="D101" s="146"/>
      <c r="E101" s="150">
        <v>1.4700660406168882</v>
      </c>
      <c r="F101" s="150">
        <v>45.3</v>
      </c>
      <c r="G101" s="151">
        <v>-1797</v>
      </c>
      <c r="H101" s="152"/>
      <c r="I101" s="152"/>
      <c r="J101" s="152"/>
      <c r="K101" s="150">
        <v>64.2</v>
      </c>
      <c r="L101" s="147">
        <v>698</v>
      </c>
      <c r="M101" s="152">
        <v>36</v>
      </c>
      <c r="N101" s="148">
        <v>7153.649426298174</v>
      </c>
      <c r="O101" s="146">
        <v>14124608</v>
      </c>
      <c r="P101" s="139">
        <v>8732777</v>
      </c>
      <c r="Q101" s="139">
        <v>33460309</v>
      </c>
      <c r="R101" s="139">
        <v>-24727533</v>
      </c>
      <c r="S101" s="146">
        <v>18973738</v>
      </c>
      <c r="T101" s="138">
        <v>7621841</v>
      </c>
      <c r="U101" s="160"/>
      <c r="W101" s="138">
        <v>-5251</v>
      </c>
      <c r="X101" s="138">
        <v>191677</v>
      </c>
      <c r="Y101" s="146">
        <v>2054472</v>
      </c>
      <c r="Z101" s="138">
        <v>1745335</v>
      </c>
      <c r="AA101" s="139">
        <v>139813</v>
      </c>
      <c r="AB101" s="139">
        <v>29218</v>
      </c>
      <c r="AC101" s="139">
        <v>419733</v>
      </c>
      <c r="AD101" s="139">
        <v>-10157</v>
      </c>
      <c r="AE101" s="139">
        <v>33385</v>
      </c>
      <c r="AF101" s="139">
        <v>23007</v>
      </c>
      <c r="AG101" s="139">
        <v>465969</v>
      </c>
      <c r="AH101" s="138">
        <v>7483853</v>
      </c>
      <c r="AI101" s="138">
        <v>1712122</v>
      </c>
      <c r="AK101" s="138">
        <v>-116125</v>
      </c>
      <c r="AL101" s="151">
        <v>-1315633</v>
      </c>
      <c r="AM101" s="151">
        <v>-928656</v>
      </c>
      <c r="AN101" s="146">
        <v>18973738</v>
      </c>
      <c r="AO101" s="139">
        <v>16127866</v>
      </c>
      <c r="AP101" s="139">
        <v>1645217</v>
      </c>
      <c r="AQ101" s="139">
        <v>1199955</v>
      </c>
      <c r="AR101" s="114">
        <v>19.18</v>
      </c>
      <c r="AS101" s="152"/>
      <c r="AT101" s="185" t="s">
        <v>337</v>
      </c>
      <c r="AU101" s="191">
        <v>5398173</v>
      </c>
      <c r="AV101" s="146"/>
      <c r="AW101" s="150">
        <v>0.9931606097490292</v>
      </c>
      <c r="AX101" s="150">
        <v>48.3</v>
      </c>
      <c r="AY101" s="151">
        <v>-2127</v>
      </c>
      <c r="AZ101" s="152"/>
      <c r="BA101" s="152"/>
      <c r="BB101" s="152"/>
      <c r="BC101" s="150">
        <v>62.1</v>
      </c>
      <c r="BD101" s="147">
        <v>619</v>
      </c>
      <c r="BE101" s="152">
        <v>30</v>
      </c>
      <c r="BF101" s="148">
        <v>7481.313770418251</v>
      </c>
      <c r="BG101" s="146">
        <v>14659938</v>
      </c>
      <c r="BH101" s="139">
        <v>9054626</v>
      </c>
      <c r="BI101" s="139">
        <v>35281963</v>
      </c>
      <c r="BJ101" s="139">
        <v>-26227336</v>
      </c>
      <c r="BK101" s="146">
        <v>19227970</v>
      </c>
      <c r="BL101" s="147">
        <v>8031581</v>
      </c>
      <c r="BM101" s="160"/>
      <c r="BO101" s="138">
        <v>-15466</v>
      </c>
      <c r="BP101" s="138">
        <v>323209</v>
      </c>
      <c r="BQ101" s="146">
        <v>1340637</v>
      </c>
      <c r="BR101" s="138">
        <v>1891826</v>
      </c>
      <c r="BS101" s="139">
        <v>271406</v>
      </c>
      <c r="BT101" s="139">
        <v>29081</v>
      </c>
      <c r="BU101" s="139">
        <v>-308864</v>
      </c>
      <c r="BV101" s="139">
        <v>20056</v>
      </c>
      <c r="BW101" s="139">
        <v>-6257</v>
      </c>
      <c r="BX101" s="139">
        <v>10973</v>
      </c>
      <c r="BY101" s="138">
        <v>-284093</v>
      </c>
      <c r="BZ101" s="138">
        <v>6571580</v>
      </c>
      <c r="CA101" s="138">
        <v>1037245</v>
      </c>
      <c r="CC101" s="138">
        <v>-106334</v>
      </c>
      <c r="CD101" s="151">
        <v>-1351668</v>
      </c>
      <c r="CE101" s="151">
        <v>-1675398</v>
      </c>
      <c r="CF101" s="138">
        <v>19227970</v>
      </c>
      <c r="CG101" s="139">
        <v>16754413</v>
      </c>
      <c r="CH101" s="139">
        <v>1205379</v>
      </c>
      <c r="CI101" s="139">
        <v>1268178</v>
      </c>
      <c r="CJ101" s="114">
        <v>19.26</v>
      </c>
      <c r="CK101" s="152"/>
      <c r="CL101" s="185" t="s">
        <v>337</v>
      </c>
      <c r="CM101" s="190">
        <v>5422604</v>
      </c>
      <c r="CN101" s="146"/>
      <c r="CO101" s="150">
        <v>1.319371239384578</v>
      </c>
      <c r="CP101" s="150">
        <v>50.71641385512129</v>
      </c>
      <c r="CQ101" s="151">
        <v>-2246.5641968323707</v>
      </c>
      <c r="CR101" s="152"/>
      <c r="CS101" s="152"/>
      <c r="CT101" s="152"/>
      <c r="CU101" s="150">
        <v>60.441079740347405</v>
      </c>
      <c r="CV101" s="147">
        <v>797.3285528502543</v>
      </c>
      <c r="CW101" s="152">
        <v>37.699798939235095</v>
      </c>
      <c r="CX101" s="148">
        <v>7719.53511633894</v>
      </c>
      <c r="CY101" s="146">
        <v>14877516</v>
      </c>
      <c r="CZ101" s="139">
        <v>9099866</v>
      </c>
      <c r="DA101" s="139">
        <v>36154397</v>
      </c>
      <c r="DB101" s="139">
        <v>-27054531</v>
      </c>
      <c r="DC101" s="146">
        <v>20550650</v>
      </c>
      <c r="DD101" s="147">
        <v>8252562</v>
      </c>
      <c r="DE101" s="160"/>
      <c r="DG101" s="138">
        <v>4687</v>
      </c>
      <c r="DH101" s="138">
        <v>309368</v>
      </c>
      <c r="DI101" s="146">
        <v>2062736</v>
      </c>
      <c r="DJ101" s="138">
        <v>2058535</v>
      </c>
      <c r="DK101" s="139">
        <v>384160</v>
      </c>
      <c r="DL101" s="139">
        <v>18131</v>
      </c>
      <c r="DM101" s="139">
        <v>370230</v>
      </c>
      <c r="DN101" s="139">
        <v>-19191</v>
      </c>
      <c r="DO101" s="139">
        <v>-6649</v>
      </c>
      <c r="DP101" s="139">
        <v>49155</v>
      </c>
      <c r="DQ101" s="138">
        <v>393545</v>
      </c>
      <c r="DR101" s="138">
        <v>6961486</v>
      </c>
      <c r="DS101" s="138">
        <v>1816605</v>
      </c>
      <c r="DU101" s="138">
        <v>11698</v>
      </c>
      <c r="DV101" s="151">
        <v>-1514912</v>
      </c>
      <c r="DW101" s="138">
        <v>-891428</v>
      </c>
      <c r="DX101" s="138">
        <v>20550650</v>
      </c>
      <c r="DY101" s="146">
        <v>17881106</v>
      </c>
      <c r="DZ101" s="196">
        <v>1308621</v>
      </c>
      <c r="EA101" s="146">
        <v>1360351</v>
      </c>
      <c r="EB101" s="114">
        <v>19.4</v>
      </c>
      <c r="EC101" s="152"/>
      <c r="ED101" s="185">
        <v>0</v>
      </c>
      <c r="EE101" s="138">
        <v>14176879</v>
      </c>
      <c r="EF101" s="138">
        <v>15158416</v>
      </c>
      <c r="EG101" s="138">
        <v>15631272</v>
      </c>
      <c r="EH101" s="138">
        <v>20000</v>
      </c>
      <c r="EI101" s="138">
        <v>20000</v>
      </c>
      <c r="EJ101" s="138">
        <v>20000</v>
      </c>
      <c r="EK101" s="3">
        <v>-3574021</v>
      </c>
      <c r="EL101" s="138">
        <v>228298</v>
      </c>
      <c r="EM101" s="138">
        <v>704955</v>
      </c>
      <c r="EN101" s="3">
        <v>-3748061</v>
      </c>
      <c r="EO101" s="138">
        <v>195098</v>
      </c>
      <c r="EP101" s="138">
        <v>840307</v>
      </c>
      <c r="EQ101" s="3">
        <v>-3815428</v>
      </c>
      <c r="ER101" s="138">
        <v>210416</v>
      </c>
      <c r="ES101" s="138">
        <v>896983</v>
      </c>
      <c r="ET101" s="163">
        <v>1764529</v>
      </c>
      <c r="EU101" s="163">
        <v>44700</v>
      </c>
      <c r="EV101" s="163">
        <v>2125190</v>
      </c>
      <c r="EW101" s="163">
        <v>463855</v>
      </c>
      <c r="EX101" s="163">
        <v>2724696</v>
      </c>
      <c r="EY101" s="163">
        <v>362801</v>
      </c>
      <c r="EZ101" s="138">
        <v>10947669</v>
      </c>
      <c r="FA101" s="138">
        <v>8209512</v>
      </c>
      <c r="FB101" s="138">
        <v>2738111</v>
      </c>
      <c r="FC101" s="138">
        <v>4351604</v>
      </c>
      <c r="FD101" s="138">
        <v>12212447</v>
      </c>
      <c r="FE101" s="138">
        <v>8824565</v>
      </c>
      <c r="FF101" s="138">
        <v>3387881</v>
      </c>
      <c r="FG101" s="138">
        <v>4436382</v>
      </c>
      <c r="FH101" s="138">
        <v>13786842</v>
      </c>
      <c r="FI101" s="138">
        <v>9886108</v>
      </c>
      <c r="FJ101" s="138">
        <v>3900735</v>
      </c>
      <c r="FK101" s="138">
        <v>4288514</v>
      </c>
      <c r="FL101" s="147">
        <v>4726</v>
      </c>
      <c r="FM101" s="147">
        <v>5030</v>
      </c>
      <c r="FO101" s="181">
        <f t="shared" si="3"/>
        <v>921706.4948453609</v>
      </c>
      <c r="FP101" s="179">
        <f t="shared" si="5"/>
        <v>169.9748856537119</v>
      </c>
      <c r="FR101" s="184"/>
      <c r="FV101" s="184">
        <v>1315633</v>
      </c>
      <c r="FW101" s="2">
        <f t="shared" si="4"/>
        <v>-1315633</v>
      </c>
    </row>
    <row r="102" spans="1:179" ht="12.75">
      <c r="A102" s="82">
        <v>273</v>
      </c>
      <c r="B102" s="80" t="s">
        <v>97</v>
      </c>
      <c r="C102" s="191">
        <v>3836</v>
      </c>
      <c r="D102" s="146"/>
      <c r="E102" s="150">
        <v>1.3054101221640488</v>
      </c>
      <c r="F102" s="150">
        <v>46.9</v>
      </c>
      <c r="G102" s="151">
        <v>-2830</v>
      </c>
      <c r="H102" s="152"/>
      <c r="I102" s="152"/>
      <c r="J102" s="152"/>
      <c r="K102" s="150">
        <v>44.8</v>
      </c>
      <c r="L102" s="151">
        <v>178</v>
      </c>
      <c r="M102" s="151">
        <v>8</v>
      </c>
      <c r="N102" s="154">
        <v>7866.788321167883</v>
      </c>
      <c r="O102" s="146">
        <v>13456</v>
      </c>
      <c r="P102" s="139">
        <v>4375</v>
      </c>
      <c r="Q102" s="139">
        <v>25241</v>
      </c>
      <c r="R102" s="146">
        <v>-20866</v>
      </c>
      <c r="S102" s="146">
        <v>12933</v>
      </c>
      <c r="T102" s="146">
        <v>9997</v>
      </c>
      <c r="U102" s="160"/>
      <c r="W102" s="138">
        <v>-203</v>
      </c>
      <c r="X102" s="138">
        <v>55</v>
      </c>
      <c r="Y102" s="139">
        <v>1916</v>
      </c>
      <c r="Z102" s="138">
        <v>1105</v>
      </c>
      <c r="AA102" s="146">
        <v>169</v>
      </c>
      <c r="AB102" s="146"/>
      <c r="AC102" s="146">
        <v>980</v>
      </c>
      <c r="AD102" s="146">
        <v>14</v>
      </c>
      <c r="AE102" s="146"/>
      <c r="AF102" s="146"/>
      <c r="AG102" s="146">
        <v>994</v>
      </c>
      <c r="AH102" s="139">
        <v>3174</v>
      </c>
      <c r="AI102" s="139">
        <v>2064</v>
      </c>
      <c r="AJ102" s="176"/>
      <c r="AK102" s="146">
        <v>951</v>
      </c>
      <c r="AL102" s="151">
        <v>-1391</v>
      </c>
      <c r="AM102" s="151">
        <v>-1975</v>
      </c>
      <c r="AN102" s="146">
        <v>12933</v>
      </c>
      <c r="AO102" s="139">
        <v>9504</v>
      </c>
      <c r="AP102" s="146">
        <v>787</v>
      </c>
      <c r="AQ102" s="146">
        <v>2642</v>
      </c>
      <c r="AR102" s="155">
        <v>20</v>
      </c>
      <c r="AS102" s="152"/>
      <c r="AT102" s="156">
        <v>41</v>
      </c>
      <c r="AU102" s="191">
        <v>3853</v>
      </c>
      <c r="AV102" s="146"/>
      <c r="AW102" s="150">
        <v>0.9414758269720102</v>
      </c>
      <c r="AX102" s="150">
        <v>51.1</v>
      </c>
      <c r="AY102" s="151">
        <v>-3266</v>
      </c>
      <c r="AZ102" s="152"/>
      <c r="BA102" s="152"/>
      <c r="BB102" s="152"/>
      <c r="BC102" s="150">
        <v>41.4</v>
      </c>
      <c r="BD102" s="151">
        <v>91</v>
      </c>
      <c r="BE102" s="151">
        <v>4</v>
      </c>
      <c r="BF102" s="154">
        <v>8372.177524007267</v>
      </c>
      <c r="BG102" s="146">
        <v>13738</v>
      </c>
      <c r="BH102" s="139">
        <v>4609</v>
      </c>
      <c r="BI102" s="139">
        <v>27334</v>
      </c>
      <c r="BJ102" s="146">
        <v>-22725</v>
      </c>
      <c r="BK102" s="146">
        <v>12774</v>
      </c>
      <c r="BL102" s="146">
        <v>11386</v>
      </c>
      <c r="BM102" s="160"/>
      <c r="BO102" s="138">
        <v>-203</v>
      </c>
      <c r="BP102" s="138">
        <v>30</v>
      </c>
      <c r="BQ102" s="139">
        <v>1262</v>
      </c>
      <c r="BR102" s="138">
        <v>1273</v>
      </c>
      <c r="BS102" s="146">
        <v>11</v>
      </c>
      <c r="BT102" s="146"/>
      <c r="BU102" s="146">
        <v>0</v>
      </c>
      <c r="BV102" s="146">
        <v>14</v>
      </c>
      <c r="BW102" s="146"/>
      <c r="BX102" s="146"/>
      <c r="BY102" s="138">
        <v>14</v>
      </c>
      <c r="BZ102" s="139">
        <v>3183</v>
      </c>
      <c r="CA102" s="139">
        <v>1253</v>
      </c>
      <c r="CB102" s="176"/>
      <c r="CC102" s="146">
        <v>-497</v>
      </c>
      <c r="CD102" s="151">
        <v>-1354</v>
      </c>
      <c r="CE102" s="151">
        <v>-1969</v>
      </c>
      <c r="CF102" s="138">
        <v>12774</v>
      </c>
      <c r="CG102" s="139">
        <v>9562</v>
      </c>
      <c r="CH102" s="146">
        <v>499</v>
      </c>
      <c r="CI102" s="146">
        <v>2713</v>
      </c>
      <c r="CJ102" s="155">
        <v>20</v>
      </c>
      <c r="CK102" s="152"/>
      <c r="CL102" s="156">
        <v>61</v>
      </c>
      <c r="CM102" s="190">
        <v>3885</v>
      </c>
      <c r="CN102" s="146"/>
      <c r="CO102" s="150">
        <v>2.045482483097726</v>
      </c>
      <c r="CP102" s="150">
        <v>51.88104851631097</v>
      </c>
      <c r="CQ102" s="151">
        <v>-3387.902187902188</v>
      </c>
      <c r="CR102" s="152"/>
      <c r="CS102" s="152"/>
      <c r="CT102" s="152"/>
      <c r="CU102" s="150">
        <v>43.1910569105691</v>
      </c>
      <c r="CV102" s="151">
        <v>259.7168597168597</v>
      </c>
      <c r="CW102" s="151">
        <v>10.83318625720673</v>
      </c>
      <c r="CX102" s="154">
        <v>8750.579150579151</v>
      </c>
      <c r="CY102" s="146">
        <v>13984</v>
      </c>
      <c r="CZ102" s="139">
        <v>4949</v>
      </c>
      <c r="DA102" s="139">
        <v>27905</v>
      </c>
      <c r="DB102" s="146">
        <v>-22956</v>
      </c>
      <c r="DC102" s="146">
        <v>13568</v>
      </c>
      <c r="DD102" s="146">
        <v>12689</v>
      </c>
      <c r="DE102" s="160"/>
      <c r="DG102" s="138">
        <v>-158</v>
      </c>
      <c r="DH102" s="138">
        <v>12</v>
      </c>
      <c r="DI102" s="139">
        <v>3155</v>
      </c>
      <c r="DJ102" s="138">
        <v>1340</v>
      </c>
      <c r="DK102" s="146">
        <v>109</v>
      </c>
      <c r="DL102" s="146"/>
      <c r="DM102" s="146">
        <v>1924</v>
      </c>
      <c r="DN102" s="146">
        <v>20</v>
      </c>
      <c r="DO102" s="146"/>
      <c r="DP102" s="146"/>
      <c r="DQ102" s="138">
        <v>1944</v>
      </c>
      <c r="DR102" s="139">
        <v>5128</v>
      </c>
      <c r="DS102" s="139">
        <v>3264</v>
      </c>
      <c r="DT102" s="176"/>
      <c r="DU102" s="146">
        <v>-259</v>
      </c>
      <c r="DV102" s="151">
        <v>-1454</v>
      </c>
      <c r="DW102" s="138">
        <v>-434</v>
      </c>
      <c r="DX102" s="138">
        <v>13568</v>
      </c>
      <c r="DY102" s="146">
        <v>10233</v>
      </c>
      <c r="DZ102" s="196">
        <v>514</v>
      </c>
      <c r="EA102" s="146">
        <v>2821</v>
      </c>
      <c r="EB102" s="155">
        <v>20</v>
      </c>
      <c r="EC102" s="152"/>
      <c r="ED102" s="156">
        <v>9</v>
      </c>
      <c r="EE102" s="138">
        <v>8566</v>
      </c>
      <c r="EF102" s="138">
        <v>9974</v>
      </c>
      <c r="EG102" s="138">
        <v>10196</v>
      </c>
      <c r="EH102" s="138"/>
      <c r="EI102" s="138"/>
      <c r="EJ102" s="138"/>
      <c r="EK102" s="3">
        <v>-4122</v>
      </c>
      <c r="EL102" s="138">
        <v>41</v>
      </c>
      <c r="EM102" s="138">
        <v>42</v>
      </c>
      <c r="EN102" s="3">
        <v>-3388</v>
      </c>
      <c r="EO102" s="138">
        <v>144</v>
      </c>
      <c r="EP102" s="138">
        <v>22</v>
      </c>
      <c r="EQ102" s="3">
        <v>-4438</v>
      </c>
      <c r="ER102" s="138">
        <v>740</v>
      </c>
      <c r="ET102" s="163">
        <v>1500</v>
      </c>
      <c r="EU102" s="163"/>
      <c r="EV102" s="138">
        <v>1500</v>
      </c>
      <c r="EW102" s="138">
        <v>1200</v>
      </c>
      <c r="EX102" s="138">
        <v>2592</v>
      </c>
      <c r="EY102" s="138">
        <v>500</v>
      </c>
      <c r="EZ102" s="138">
        <v>9386</v>
      </c>
      <c r="FA102" s="138">
        <v>8032</v>
      </c>
      <c r="FB102" s="138">
        <v>1354</v>
      </c>
      <c r="FC102" s="138">
        <v>1288</v>
      </c>
      <c r="FD102" s="138">
        <v>10733</v>
      </c>
      <c r="FE102" s="138">
        <v>8078</v>
      </c>
      <c r="FF102" s="138">
        <v>2655</v>
      </c>
      <c r="FG102" s="138">
        <v>1288</v>
      </c>
      <c r="FH102" s="138">
        <v>12370</v>
      </c>
      <c r="FI102" s="138">
        <v>9063</v>
      </c>
      <c r="FJ102" s="138">
        <v>3307</v>
      </c>
      <c r="FK102" s="138">
        <v>1288</v>
      </c>
      <c r="FL102" s="147">
        <v>3640</v>
      </c>
      <c r="FM102" s="147">
        <v>4481.702569426421</v>
      </c>
      <c r="FO102" s="181">
        <f t="shared" si="3"/>
        <v>511.65</v>
      </c>
      <c r="FP102" s="179">
        <f t="shared" si="5"/>
        <v>131.69884169884168</v>
      </c>
      <c r="FR102" s="184"/>
      <c r="FV102" s="184">
        <v>1391</v>
      </c>
      <c r="FW102" s="2">
        <f t="shared" si="4"/>
        <v>-1391</v>
      </c>
    </row>
    <row r="103" spans="1:179" ht="12.75">
      <c r="A103" s="82">
        <v>275</v>
      </c>
      <c r="B103" s="80" t="s">
        <v>98</v>
      </c>
      <c r="C103" s="191">
        <v>2924</v>
      </c>
      <c r="D103" s="146"/>
      <c r="E103" s="150">
        <v>0.9517391304347826</v>
      </c>
      <c r="F103" s="150">
        <v>24</v>
      </c>
      <c r="G103" s="147">
        <v>-383</v>
      </c>
      <c r="H103" s="152"/>
      <c r="I103" s="152"/>
      <c r="J103" s="152"/>
      <c r="K103" s="150">
        <v>75.7</v>
      </c>
      <c r="L103" s="151">
        <v>816</v>
      </c>
      <c r="M103" s="151">
        <v>44</v>
      </c>
      <c r="N103" s="154">
        <v>35535.9097127223</v>
      </c>
      <c r="O103" s="146">
        <v>6289</v>
      </c>
      <c r="P103" s="139">
        <v>3066</v>
      </c>
      <c r="Q103" s="139">
        <v>18066</v>
      </c>
      <c r="R103" s="139">
        <v>-15000</v>
      </c>
      <c r="S103" s="146">
        <v>7322</v>
      </c>
      <c r="T103" s="139">
        <v>8262</v>
      </c>
      <c r="U103" s="160"/>
      <c r="W103" s="138">
        <v>-55</v>
      </c>
      <c r="X103" s="138">
        <v>95</v>
      </c>
      <c r="Y103" s="139">
        <v>624</v>
      </c>
      <c r="Z103" s="138">
        <v>520</v>
      </c>
      <c r="AA103" s="139"/>
      <c r="AC103" s="139">
        <v>104</v>
      </c>
      <c r="AD103" s="139"/>
      <c r="AG103" s="139">
        <v>104</v>
      </c>
      <c r="AH103" s="139">
        <v>5646</v>
      </c>
      <c r="AI103" s="139">
        <v>679</v>
      </c>
      <c r="AJ103" s="176"/>
      <c r="AK103" s="139">
        <v>165</v>
      </c>
      <c r="AL103" s="151">
        <v>-846</v>
      </c>
      <c r="AM103" s="151">
        <v>141</v>
      </c>
      <c r="AN103" s="146">
        <v>7322</v>
      </c>
      <c r="AO103" s="139">
        <v>6039</v>
      </c>
      <c r="AP103" s="139">
        <v>782</v>
      </c>
      <c r="AQ103" s="139">
        <v>501</v>
      </c>
      <c r="AR103" s="114">
        <v>19.5</v>
      </c>
      <c r="AS103" s="152"/>
      <c r="AT103" s="138">
        <v>192</v>
      </c>
      <c r="AU103" s="191">
        <v>2904</v>
      </c>
      <c r="AV103" s="146"/>
      <c r="AW103" s="150">
        <v>0.11384876805437553</v>
      </c>
      <c r="AX103" s="150">
        <v>56.7</v>
      </c>
      <c r="AY103" s="147">
        <v>-2744</v>
      </c>
      <c r="AZ103" s="152"/>
      <c r="BA103" s="152"/>
      <c r="BB103" s="152"/>
      <c r="BC103" s="150">
        <v>55</v>
      </c>
      <c r="BD103" s="151">
        <v>649</v>
      </c>
      <c r="BE103" s="151">
        <v>25</v>
      </c>
      <c r="BF103" s="154">
        <v>9531.68044077135</v>
      </c>
      <c r="BG103" s="146">
        <v>6883</v>
      </c>
      <c r="BH103" s="139">
        <v>3505</v>
      </c>
      <c r="BI103" s="139">
        <v>19381</v>
      </c>
      <c r="BJ103" s="139">
        <v>-15876</v>
      </c>
      <c r="BK103" s="146">
        <v>7358</v>
      </c>
      <c r="BL103" s="146">
        <v>8492</v>
      </c>
      <c r="BM103" s="160"/>
      <c r="BO103" s="138">
        <v>-117</v>
      </c>
      <c r="BP103" s="138">
        <v>133</v>
      </c>
      <c r="BQ103" s="139">
        <v>-10</v>
      </c>
      <c r="BR103" s="138">
        <v>603</v>
      </c>
      <c r="BS103" s="139"/>
      <c r="BU103" s="139">
        <v>-613</v>
      </c>
      <c r="BV103" s="139"/>
      <c r="BY103" s="138">
        <v>-613</v>
      </c>
      <c r="BZ103" s="139">
        <v>5033</v>
      </c>
      <c r="CA103" s="139">
        <v>42</v>
      </c>
      <c r="CB103" s="176"/>
      <c r="CC103" s="139">
        <v>-204</v>
      </c>
      <c r="CD103" s="151">
        <v>-1033</v>
      </c>
      <c r="CE103" s="151">
        <v>-6791</v>
      </c>
      <c r="CF103" s="138">
        <v>7358</v>
      </c>
      <c r="CG103" s="139">
        <v>6312</v>
      </c>
      <c r="CH103" s="139">
        <v>486</v>
      </c>
      <c r="CI103" s="139">
        <v>560</v>
      </c>
      <c r="CJ103" s="114">
        <v>20</v>
      </c>
      <c r="CK103" s="152"/>
      <c r="CL103" s="138">
        <v>242</v>
      </c>
      <c r="CM103" s="190">
        <v>2846</v>
      </c>
      <c r="CN103" s="146"/>
      <c r="CO103" s="150">
        <v>0.9027272727272727</v>
      </c>
      <c r="CP103" s="150">
        <v>54.49499501873903</v>
      </c>
      <c r="CQ103" s="147">
        <v>-2931.1314125087843</v>
      </c>
      <c r="CR103" s="152"/>
      <c r="CS103" s="152"/>
      <c r="CT103" s="152"/>
      <c r="CU103" s="150">
        <v>53.58219150560534</v>
      </c>
      <c r="CV103" s="151">
        <v>683.4153197470133</v>
      </c>
      <c r="CW103" s="151">
        <v>31.70015628488502</v>
      </c>
      <c r="CX103" s="154">
        <v>7868.938861560085</v>
      </c>
      <c r="CY103" s="146">
        <v>6796</v>
      </c>
      <c r="CZ103" s="139">
        <v>3521</v>
      </c>
      <c r="DA103" s="139">
        <v>20298</v>
      </c>
      <c r="DB103" s="139">
        <v>-16777</v>
      </c>
      <c r="DC103" s="146">
        <v>8393</v>
      </c>
      <c r="DD103" s="146">
        <v>9165</v>
      </c>
      <c r="DE103" s="160"/>
      <c r="DG103" s="138">
        <v>-88</v>
      </c>
      <c r="DH103" s="138">
        <v>176</v>
      </c>
      <c r="DI103" s="139">
        <v>869</v>
      </c>
      <c r="DJ103" s="138">
        <v>633</v>
      </c>
      <c r="DK103" s="139"/>
      <c r="DM103" s="139">
        <v>236</v>
      </c>
      <c r="DN103" s="139"/>
      <c r="DQ103" s="138">
        <v>236</v>
      </c>
      <c r="DR103" s="139">
        <v>4890</v>
      </c>
      <c r="DS103" s="139">
        <v>867</v>
      </c>
      <c r="DT103" s="176"/>
      <c r="DU103" s="139">
        <v>-29</v>
      </c>
      <c r="DV103" s="151">
        <v>-976</v>
      </c>
      <c r="DW103" s="138">
        <v>-50</v>
      </c>
      <c r="DX103" s="138">
        <v>8393</v>
      </c>
      <c r="DY103" s="146">
        <v>7238</v>
      </c>
      <c r="DZ103" s="196">
        <v>548</v>
      </c>
      <c r="EA103" s="146">
        <v>607</v>
      </c>
      <c r="EB103" s="114">
        <v>21</v>
      </c>
      <c r="EC103" s="152"/>
      <c r="ED103" s="138">
        <v>138</v>
      </c>
      <c r="EE103" s="138">
        <v>9760</v>
      </c>
      <c r="EF103" s="138">
        <v>10172</v>
      </c>
      <c r="EG103" s="138">
        <v>11181</v>
      </c>
      <c r="EH103" s="138"/>
      <c r="EI103" s="138"/>
      <c r="EJ103" s="138"/>
      <c r="EK103" s="3">
        <v>-620</v>
      </c>
      <c r="EL103" s="138">
        <v>35</v>
      </c>
      <c r="EM103" s="138">
        <v>47</v>
      </c>
      <c r="EN103" s="3">
        <v>-7098</v>
      </c>
      <c r="EO103" s="138">
        <v>109</v>
      </c>
      <c r="EP103" s="138">
        <v>156</v>
      </c>
      <c r="EQ103" s="3">
        <v>-961</v>
      </c>
      <c r="ER103" s="138">
        <v>17</v>
      </c>
      <c r="ES103" s="138">
        <v>27</v>
      </c>
      <c r="ET103" s="163"/>
      <c r="EU103" s="163">
        <v>-50</v>
      </c>
      <c r="EV103" s="138">
        <v>7250</v>
      </c>
      <c r="EW103" s="138">
        <v>450</v>
      </c>
      <c r="EX103" s="138">
        <v>800</v>
      </c>
      <c r="EY103" s="138">
        <v>80</v>
      </c>
      <c r="EZ103" s="138">
        <v>2570</v>
      </c>
      <c r="FA103" s="138">
        <v>2097</v>
      </c>
      <c r="FB103" s="138">
        <v>473</v>
      </c>
      <c r="FC103" s="138">
        <v>396</v>
      </c>
      <c r="FD103" s="138">
        <v>9236</v>
      </c>
      <c r="FE103" s="138">
        <v>8341</v>
      </c>
      <c r="FF103" s="138">
        <v>895</v>
      </c>
      <c r="FG103" s="138">
        <v>396</v>
      </c>
      <c r="FH103" s="138">
        <v>9141</v>
      </c>
      <c r="FI103" s="138">
        <v>8166</v>
      </c>
      <c r="FJ103" s="138">
        <v>975</v>
      </c>
      <c r="FK103" s="138">
        <v>396</v>
      </c>
      <c r="FL103" s="147">
        <v>2281</v>
      </c>
      <c r="FM103" s="147">
        <v>4368.801652892562</v>
      </c>
      <c r="FO103" s="181">
        <f t="shared" si="3"/>
        <v>344.6666666666667</v>
      </c>
      <c r="FP103" s="179">
        <f t="shared" si="5"/>
        <v>121.10564535019911</v>
      </c>
      <c r="FR103" s="184"/>
      <c r="FV103" s="184">
        <v>846</v>
      </c>
      <c r="FW103" s="2">
        <f t="shared" si="4"/>
        <v>-846</v>
      </c>
    </row>
    <row r="104" spans="1:179" ht="12.75">
      <c r="A104" s="82">
        <v>276</v>
      </c>
      <c r="B104" s="80" t="s">
        <v>99</v>
      </c>
      <c r="C104" s="191">
        <v>14000</v>
      </c>
      <c r="D104" s="146"/>
      <c r="E104" s="150">
        <v>0.8794701986754967</v>
      </c>
      <c r="F104" s="150">
        <v>63.5</v>
      </c>
      <c r="G104" s="151">
        <v>-2721</v>
      </c>
      <c r="H104" s="152"/>
      <c r="I104" s="152"/>
      <c r="J104" s="152"/>
      <c r="K104" s="150">
        <v>43.4</v>
      </c>
      <c r="L104" s="151">
        <v>185</v>
      </c>
      <c r="M104" s="151">
        <v>11</v>
      </c>
      <c r="N104" s="154">
        <v>5333.928571428572</v>
      </c>
      <c r="O104" s="146">
        <v>31441</v>
      </c>
      <c r="P104" s="139">
        <v>11564</v>
      </c>
      <c r="Q104" s="139">
        <v>68087</v>
      </c>
      <c r="R104" s="139">
        <v>-56523</v>
      </c>
      <c r="S104" s="146">
        <v>39847</v>
      </c>
      <c r="T104" s="139">
        <v>22508</v>
      </c>
      <c r="U104" s="160"/>
      <c r="W104" s="138">
        <v>-1019</v>
      </c>
      <c r="X104" s="138">
        <v>275</v>
      </c>
      <c r="Y104" s="139">
        <v>5088</v>
      </c>
      <c r="Z104" s="138">
        <v>3561</v>
      </c>
      <c r="AB104" s="139"/>
      <c r="AC104" s="139">
        <v>1527</v>
      </c>
      <c r="AD104" s="138">
        <v>80</v>
      </c>
      <c r="AE104" s="139"/>
      <c r="AG104" s="139">
        <v>1607</v>
      </c>
      <c r="AH104" s="139">
        <v>14129</v>
      </c>
      <c r="AI104" s="139">
        <v>4314</v>
      </c>
      <c r="AJ104" s="176"/>
      <c r="AK104" s="139">
        <v>-2880</v>
      </c>
      <c r="AL104" s="151">
        <v>-5816</v>
      </c>
      <c r="AM104" s="151">
        <v>-2800</v>
      </c>
      <c r="AN104" s="146">
        <v>39847</v>
      </c>
      <c r="AO104" s="139">
        <v>36336</v>
      </c>
      <c r="AP104" s="139">
        <v>1597</v>
      </c>
      <c r="AQ104" s="139">
        <v>1914</v>
      </c>
      <c r="AR104" s="114">
        <v>19.25</v>
      </c>
      <c r="AS104" s="152"/>
      <c r="AT104" s="138">
        <v>89</v>
      </c>
      <c r="AU104" s="191">
        <v>14245</v>
      </c>
      <c r="AV104" s="146"/>
      <c r="AW104" s="150">
        <v>0.4460684801732305</v>
      </c>
      <c r="AX104" s="150">
        <v>67.5</v>
      </c>
      <c r="AY104" s="151">
        <v>-2995</v>
      </c>
      <c r="AZ104" s="152"/>
      <c r="BA104" s="152"/>
      <c r="BB104" s="152"/>
      <c r="BC104" s="150">
        <v>40.2</v>
      </c>
      <c r="BD104" s="151">
        <v>199</v>
      </c>
      <c r="BE104" s="151">
        <v>12</v>
      </c>
      <c r="BF104" s="154">
        <v>6131.484731484732</v>
      </c>
      <c r="BG104" s="146">
        <v>33388</v>
      </c>
      <c r="BH104" s="139">
        <v>13476</v>
      </c>
      <c r="BI104" s="139">
        <v>72971</v>
      </c>
      <c r="BJ104" s="139">
        <v>-59495</v>
      </c>
      <c r="BK104" s="146">
        <v>40422</v>
      </c>
      <c r="BL104" s="146">
        <v>22039</v>
      </c>
      <c r="BM104" s="160"/>
      <c r="BO104" s="138">
        <v>-1051</v>
      </c>
      <c r="BP104" s="138">
        <v>299</v>
      </c>
      <c r="BQ104" s="139">
        <v>2214</v>
      </c>
      <c r="BR104" s="138">
        <v>3909</v>
      </c>
      <c r="BT104" s="139"/>
      <c r="BU104" s="139">
        <v>-1695</v>
      </c>
      <c r="BV104" s="138">
        <v>80</v>
      </c>
      <c r="BW104" s="139"/>
      <c r="BY104" s="138">
        <v>-1615</v>
      </c>
      <c r="BZ104" s="139">
        <v>12513</v>
      </c>
      <c r="CA104" s="139">
        <v>1496</v>
      </c>
      <c r="CB104" s="176"/>
      <c r="CC104" s="139">
        <v>435</v>
      </c>
      <c r="CD104" s="151">
        <v>-6307</v>
      </c>
      <c r="CE104" s="151">
        <v>-4392</v>
      </c>
      <c r="CF104" s="138">
        <v>40422</v>
      </c>
      <c r="CG104" s="139">
        <v>37164</v>
      </c>
      <c r="CH104" s="139">
        <v>1321</v>
      </c>
      <c r="CI104" s="139">
        <v>1937</v>
      </c>
      <c r="CJ104" s="114">
        <v>19.25</v>
      </c>
      <c r="CK104" s="152"/>
      <c r="CL104" s="138">
        <v>149</v>
      </c>
      <c r="CM104" s="190">
        <v>14422</v>
      </c>
      <c r="CN104" s="146"/>
      <c r="CO104" s="150">
        <v>0.7174048658764816</v>
      </c>
      <c r="CP104" s="150">
        <v>68.72472397965512</v>
      </c>
      <c r="CQ104" s="151">
        <v>-2981.4866176674527</v>
      </c>
      <c r="CR104" s="152"/>
      <c r="CS104" s="152"/>
      <c r="CT104" s="152"/>
      <c r="CU104" s="150">
        <v>38.27521063146009</v>
      </c>
      <c r="CV104" s="151">
        <v>535.2239633892664</v>
      </c>
      <c r="CW104" s="151">
        <v>31.48640493512589</v>
      </c>
      <c r="CX104" s="154">
        <v>6204.479267785328</v>
      </c>
      <c r="CY104" s="146">
        <v>25461</v>
      </c>
      <c r="CZ104" s="139">
        <v>12613</v>
      </c>
      <c r="DA104" s="139">
        <v>75178</v>
      </c>
      <c r="DB104" s="139">
        <v>-62565</v>
      </c>
      <c r="DC104" s="146">
        <v>44885</v>
      </c>
      <c r="DD104" s="146">
        <v>23112</v>
      </c>
      <c r="DE104" s="160"/>
      <c r="DG104" s="138">
        <v>-964</v>
      </c>
      <c r="DH104" s="138">
        <v>269</v>
      </c>
      <c r="DI104" s="139">
        <v>4737</v>
      </c>
      <c r="DJ104" s="138">
        <v>4986</v>
      </c>
      <c r="DL104" s="139"/>
      <c r="DM104" s="139">
        <v>-249</v>
      </c>
      <c r="DN104" s="138">
        <v>80</v>
      </c>
      <c r="DO104" s="139"/>
      <c r="DQ104" s="138">
        <v>-169</v>
      </c>
      <c r="DR104" s="139">
        <v>12345</v>
      </c>
      <c r="DS104" s="139">
        <v>3995</v>
      </c>
      <c r="DT104" s="176"/>
      <c r="DU104" s="139">
        <v>1107</v>
      </c>
      <c r="DV104" s="151">
        <v>-7002</v>
      </c>
      <c r="DW104" s="138">
        <v>-545</v>
      </c>
      <c r="DX104" s="138">
        <v>44885</v>
      </c>
      <c r="DY104" s="146">
        <v>41195</v>
      </c>
      <c r="DZ104" s="196">
        <v>1665</v>
      </c>
      <c r="EA104" s="146">
        <v>2025</v>
      </c>
      <c r="EB104" s="114">
        <v>19.75</v>
      </c>
      <c r="EC104" s="152"/>
      <c r="ED104" s="138">
        <v>124</v>
      </c>
      <c r="EE104" s="138">
        <v>27696</v>
      </c>
      <c r="EF104" s="138">
        <v>29894</v>
      </c>
      <c r="EG104" s="138">
        <v>42376</v>
      </c>
      <c r="EH104" s="138"/>
      <c r="EI104" s="138"/>
      <c r="EJ104" s="138"/>
      <c r="EK104" s="3">
        <v>-11734</v>
      </c>
      <c r="EL104" s="138">
        <v>3618</v>
      </c>
      <c r="EM104" s="138">
        <v>1002</v>
      </c>
      <c r="EN104" s="3">
        <v>-6981</v>
      </c>
      <c r="EO104" s="138">
        <v>324</v>
      </c>
      <c r="EP104" s="138">
        <v>769</v>
      </c>
      <c r="EQ104" s="3">
        <v>-6283</v>
      </c>
      <c r="ER104" s="138">
        <v>777</v>
      </c>
      <c r="ES104" s="138">
        <v>966</v>
      </c>
      <c r="ET104" s="163">
        <v>4757</v>
      </c>
      <c r="EU104" s="163">
        <v>5000</v>
      </c>
      <c r="EV104" s="138">
        <v>9000</v>
      </c>
      <c r="EW104" s="138"/>
      <c r="EX104" s="138">
        <v>8000</v>
      </c>
      <c r="EY104" s="138">
        <v>7000</v>
      </c>
      <c r="EZ104" s="138">
        <v>38690</v>
      </c>
      <c r="FA104" s="138">
        <v>27833</v>
      </c>
      <c r="FB104" s="138">
        <v>10857</v>
      </c>
      <c r="FC104" s="138">
        <v>23</v>
      </c>
      <c r="FD104" s="138">
        <v>41382</v>
      </c>
      <c r="FE104" s="138">
        <v>29782</v>
      </c>
      <c r="FF104" s="138">
        <v>11600</v>
      </c>
      <c r="FG104" s="138">
        <v>23</v>
      </c>
      <c r="FH104" s="138">
        <v>49379</v>
      </c>
      <c r="FI104" s="138">
        <v>30892</v>
      </c>
      <c r="FJ104" s="138">
        <v>18487</v>
      </c>
      <c r="FK104" s="138">
        <v>23</v>
      </c>
      <c r="FL104" s="147">
        <v>3761</v>
      </c>
      <c r="FM104" s="147">
        <v>3920.4633204633205</v>
      </c>
      <c r="FO104" s="181">
        <f t="shared" si="3"/>
        <v>2085.8227848101264</v>
      </c>
      <c r="FP104" s="179">
        <f t="shared" si="5"/>
        <v>144.6278452926173</v>
      </c>
      <c r="FR104" s="184"/>
      <c r="FV104" s="184">
        <v>5816</v>
      </c>
      <c r="FW104" s="2">
        <f t="shared" si="4"/>
        <v>-5816</v>
      </c>
    </row>
    <row r="105" spans="1:179" ht="12.75">
      <c r="A105" s="82">
        <v>280</v>
      </c>
      <c r="B105" s="80" t="s">
        <v>100</v>
      </c>
      <c r="C105" s="191">
        <v>2249</v>
      </c>
      <c r="D105" s="146"/>
      <c r="E105" s="150">
        <v>3.9910179640718564</v>
      </c>
      <c r="F105" s="150">
        <v>17</v>
      </c>
      <c r="G105" s="151">
        <v>1</v>
      </c>
      <c r="H105" s="152"/>
      <c r="I105" s="152"/>
      <c r="J105" s="152"/>
      <c r="K105" s="150">
        <v>73.4</v>
      </c>
      <c r="L105" s="151">
        <v>855</v>
      </c>
      <c r="M105" s="151">
        <v>45</v>
      </c>
      <c r="N105" s="154">
        <v>6972.87683414851</v>
      </c>
      <c r="O105" s="146">
        <v>5408</v>
      </c>
      <c r="P105" s="139">
        <v>2766</v>
      </c>
      <c r="Q105" s="139">
        <v>14183</v>
      </c>
      <c r="R105" s="139">
        <v>-11417</v>
      </c>
      <c r="S105" s="146">
        <v>6591</v>
      </c>
      <c r="T105" s="139">
        <v>6060</v>
      </c>
      <c r="U105" s="160"/>
      <c r="W105" s="138">
        <v>-15</v>
      </c>
      <c r="X105" s="138">
        <v>20</v>
      </c>
      <c r="Y105" s="139">
        <v>1239</v>
      </c>
      <c r="Z105" s="138">
        <v>638</v>
      </c>
      <c r="AC105" s="139">
        <v>601</v>
      </c>
      <c r="AD105" s="138">
        <v>220</v>
      </c>
      <c r="AE105" s="138">
        <v>-450</v>
      </c>
      <c r="AG105" s="139">
        <v>371</v>
      </c>
      <c r="AH105" s="139">
        <v>4472</v>
      </c>
      <c r="AI105" s="139">
        <v>1277</v>
      </c>
      <c r="AJ105" s="176"/>
      <c r="AK105" s="138">
        <v>182</v>
      </c>
      <c r="AL105" s="151">
        <v>-240</v>
      </c>
      <c r="AM105" s="151">
        <v>133</v>
      </c>
      <c r="AN105" s="146">
        <v>6591</v>
      </c>
      <c r="AO105" s="139">
        <v>5276</v>
      </c>
      <c r="AP105" s="139">
        <v>845</v>
      </c>
      <c r="AQ105" s="139">
        <v>470</v>
      </c>
      <c r="AR105" s="114">
        <v>19.75</v>
      </c>
      <c r="AS105" s="152"/>
      <c r="AT105" s="138">
        <v>27</v>
      </c>
      <c r="AU105" s="191">
        <v>2232</v>
      </c>
      <c r="AV105" s="146"/>
      <c r="AW105" s="150">
        <v>1.6325757575757576</v>
      </c>
      <c r="AX105" s="150">
        <v>21.1</v>
      </c>
      <c r="AY105" s="151">
        <v>-657</v>
      </c>
      <c r="AZ105" s="152"/>
      <c r="BA105" s="152"/>
      <c r="BB105" s="152"/>
      <c r="BC105" s="150">
        <v>70.6</v>
      </c>
      <c r="BD105" s="151">
        <v>537</v>
      </c>
      <c r="BE105" s="151">
        <v>25</v>
      </c>
      <c r="BF105" s="154">
        <v>7830.645161290323</v>
      </c>
      <c r="BG105" s="146">
        <v>5601</v>
      </c>
      <c r="BH105" s="139">
        <v>2839</v>
      </c>
      <c r="BI105" s="139">
        <v>15040</v>
      </c>
      <c r="BJ105" s="139">
        <v>-12201</v>
      </c>
      <c r="BK105" s="146">
        <v>6511</v>
      </c>
      <c r="BL105" s="146">
        <v>6089</v>
      </c>
      <c r="BM105" s="160"/>
      <c r="BO105" s="138">
        <v>-18</v>
      </c>
      <c r="BP105" s="138">
        <v>26</v>
      </c>
      <c r="BQ105" s="139">
        <v>407</v>
      </c>
      <c r="BR105" s="138">
        <v>732</v>
      </c>
      <c r="BU105" s="139">
        <v>-325</v>
      </c>
      <c r="BV105" s="138">
        <v>-264</v>
      </c>
      <c r="BW105" s="138">
        <v>600</v>
      </c>
      <c r="BY105" s="138">
        <v>11</v>
      </c>
      <c r="BZ105" s="139">
        <v>4483</v>
      </c>
      <c r="CA105" s="139">
        <v>328</v>
      </c>
      <c r="CB105" s="176"/>
      <c r="CC105" s="138">
        <v>112</v>
      </c>
      <c r="CD105" s="151">
        <v>-240</v>
      </c>
      <c r="CE105" s="151">
        <v>-1688</v>
      </c>
      <c r="CF105" s="138">
        <v>6511</v>
      </c>
      <c r="CG105" s="139">
        <v>5367</v>
      </c>
      <c r="CH105" s="139">
        <v>665</v>
      </c>
      <c r="CI105" s="139">
        <v>479</v>
      </c>
      <c r="CJ105" s="114">
        <v>19.75</v>
      </c>
      <c r="CK105" s="152"/>
      <c r="CL105" s="138">
        <v>126</v>
      </c>
      <c r="CM105" s="190">
        <v>2218</v>
      </c>
      <c r="CN105" s="146"/>
      <c r="CO105" s="150">
        <v>1.912536443148688</v>
      </c>
      <c r="CP105" s="150">
        <v>18.51439182915506</v>
      </c>
      <c r="CQ105" s="151">
        <v>-798.4670874661858</v>
      </c>
      <c r="CR105" s="152"/>
      <c r="CS105" s="152"/>
      <c r="CT105" s="152"/>
      <c r="CU105" s="150">
        <v>71.0119483052914</v>
      </c>
      <c r="CV105" s="151">
        <v>270.06311992786294</v>
      </c>
      <c r="CW105" s="151">
        <v>12.505576846079048</v>
      </c>
      <c r="CX105" s="154">
        <v>7882.326420198377</v>
      </c>
      <c r="CY105" s="146">
        <v>5735</v>
      </c>
      <c r="CZ105" s="139">
        <v>2860</v>
      </c>
      <c r="DA105" s="139">
        <v>15528</v>
      </c>
      <c r="DB105" s="139">
        <v>-12668</v>
      </c>
      <c r="DC105" s="146">
        <v>6959</v>
      </c>
      <c r="DD105" s="146">
        <v>6336</v>
      </c>
      <c r="DE105" s="160"/>
      <c r="DG105" s="138">
        <v>-22</v>
      </c>
      <c r="DH105" s="138">
        <v>26</v>
      </c>
      <c r="DI105" s="139">
        <v>631</v>
      </c>
      <c r="DJ105" s="138">
        <v>791</v>
      </c>
      <c r="DM105" s="139">
        <v>-160</v>
      </c>
      <c r="DN105" s="138">
        <v>315</v>
      </c>
      <c r="DQ105" s="138">
        <v>155</v>
      </c>
      <c r="DR105" s="139">
        <v>4638</v>
      </c>
      <c r="DS105" s="139">
        <v>588</v>
      </c>
      <c r="DT105" s="176"/>
      <c r="DU105" s="138">
        <v>-29</v>
      </c>
      <c r="DV105" s="151">
        <v>-318</v>
      </c>
      <c r="DW105" s="138">
        <v>-933</v>
      </c>
      <c r="DX105" s="138">
        <v>6959</v>
      </c>
      <c r="DY105" s="146">
        <v>5699</v>
      </c>
      <c r="DZ105" s="196">
        <v>764</v>
      </c>
      <c r="EA105" s="146">
        <v>496</v>
      </c>
      <c r="EB105" s="114">
        <v>20</v>
      </c>
      <c r="EC105" s="152"/>
      <c r="ED105" s="138">
        <v>151</v>
      </c>
      <c r="EE105" s="138">
        <v>6995</v>
      </c>
      <c r="EF105" s="138">
        <v>7670</v>
      </c>
      <c r="EG105" s="138">
        <v>8030</v>
      </c>
      <c r="EH105" s="138"/>
      <c r="EI105" s="138"/>
      <c r="EJ105" s="138"/>
      <c r="EK105" s="3">
        <v>-1244</v>
      </c>
      <c r="EL105" s="138">
        <v>80</v>
      </c>
      <c r="EM105" s="138">
        <v>20</v>
      </c>
      <c r="EN105" s="3">
        <v>-2170</v>
      </c>
      <c r="EO105" s="138">
        <v>36</v>
      </c>
      <c r="EP105" s="138">
        <v>118</v>
      </c>
      <c r="EQ105" s="3">
        <v>-1604</v>
      </c>
      <c r="ER105" s="138">
        <v>40</v>
      </c>
      <c r="ES105" s="138">
        <v>43</v>
      </c>
      <c r="ET105" s="163"/>
      <c r="EU105" s="163"/>
      <c r="EV105" s="138">
        <v>780</v>
      </c>
      <c r="EW105" s="138">
        <v>220</v>
      </c>
      <c r="EX105" s="138"/>
      <c r="EY105" s="138">
        <v>629</v>
      </c>
      <c r="EZ105" s="138">
        <v>863</v>
      </c>
      <c r="FA105" s="138">
        <v>623</v>
      </c>
      <c r="FB105" s="138">
        <v>240</v>
      </c>
      <c r="FC105" s="138">
        <v>0</v>
      </c>
      <c r="FD105" s="138">
        <v>1403</v>
      </c>
      <c r="FE105" s="138">
        <v>1085</v>
      </c>
      <c r="FF105" s="138">
        <v>318</v>
      </c>
      <c r="FG105" s="138">
        <v>0</v>
      </c>
      <c r="FH105" s="138">
        <v>1086</v>
      </c>
      <c r="FI105" s="138">
        <v>852</v>
      </c>
      <c r="FJ105" s="138">
        <v>234</v>
      </c>
      <c r="FK105" s="138">
        <v>0</v>
      </c>
      <c r="FL105" s="147">
        <v>550</v>
      </c>
      <c r="FM105" s="147">
        <v>861.1111111111112</v>
      </c>
      <c r="FO105" s="181">
        <f t="shared" si="3"/>
        <v>284.95</v>
      </c>
      <c r="FP105" s="179">
        <f t="shared" si="5"/>
        <v>128.47159603246166</v>
      </c>
      <c r="FR105" s="184"/>
      <c r="FV105" s="184">
        <v>240</v>
      </c>
      <c r="FW105" s="2">
        <f t="shared" si="4"/>
        <v>-240</v>
      </c>
    </row>
    <row r="106" spans="1:179" ht="12.75">
      <c r="A106" s="82">
        <v>284</v>
      </c>
      <c r="B106" s="80" t="s">
        <v>102</v>
      </c>
      <c r="C106" s="191">
        <v>2441</v>
      </c>
      <c r="D106" s="146"/>
      <c r="E106" s="150">
        <v>6.363636363636363</v>
      </c>
      <c r="F106" s="150">
        <v>17.6</v>
      </c>
      <c r="G106" s="151">
        <v>-363</v>
      </c>
      <c r="H106" s="152"/>
      <c r="I106" s="152"/>
      <c r="J106" s="152"/>
      <c r="K106" s="150">
        <v>77.5</v>
      </c>
      <c r="L106" s="151">
        <v>388</v>
      </c>
      <c r="M106" s="151">
        <v>22</v>
      </c>
      <c r="N106" s="154">
        <v>6664.481769766489</v>
      </c>
      <c r="O106" s="146">
        <v>6312</v>
      </c>
      <c r="P106" s="139">
        <v>2748</v>
      </c>
      <c r="Q106" s="139">
        <v>14771</v>
      </c>
      <c r="R106" s="139">
        <v>-12023</v>
      </c>
      <c r="S106" s="146">
        <v>6150</v>
      </c>
      <c r="T106" s="139">
        <v>6663</v>
      </c>
      <c r="U106" s="160"/>
      <c r="W106" s="138">
        <v>8</v>
      </c>
      <c r="X106" s="138">
        <v>10</v>
      </c>
      <c r="Y106" s="139">
        <v>808</v>
      </c>
      <c r="Z106" s="138">
        <v>601</v>
      </c>
      <c r="AA106" s="138">
        <v>15</v>
      </c>
      <c r="AC106" s="139">
        <v>222</v>
      </c>
      <c r="AD106" s="138">
        <v>25</v>
      </c>
      <c r="AG106" s="139">
        <v>247</v>
      </c>
      <c r="AH106" s="139">
        <v>2227</v>
      </c>
      <c r="AI106" s="139">
        <v>795</v>
      </c>
      <c r="AJ106" s="176"/>
      <c r="AK106" s="138">
        <v>-258</v>
      </c>
      <c r="AL106" s="151">
        <v>-100</v>
      </c>
      <c r="AM106" s="151">
        <v>474</v>
      </c>
      <c r="AN106" s="146">
        <v>6150</v>
      </c>
      <c r="AO106" s="139">
        <v>5357</v>
      </c>
      <c r="AP106" s="139">
        <v>490</v>
      </c>
      <c r="AQ106" s="139">
        <v>303</v>
      </c>
      <c r="AR106" s="114">
        <v>19</v>
      </c>
      <c r="AS106" s="152"/>
      <c r="AT106" s="138">
        <v>109</v>
      </c>
      <c r="AU106" s="191">
        <v>2450</v>
      </c>
      <c r="AV106" s="146"/>
      <c r="AW106" s="150">
        <v>5.623853211009174</v>
      </c>
      <c r="AX106" s="150">
        <v>17.8</v>
      </c>
      <c r="AY106" s="151">
        <v>-136</v>
      </c>
      <c r="AZ106" s="152"/>
      <c r="BA106" s="152"/>
      <c r="BB106" s="152"/>
      <c r="BC106" s="150">
        <v>77.4</v>
      </c>
      <c r="BD106" s="151">
        <v>631</v>
      </c>
      <c r="BE106" s="151">
        <v>35</v>
      </c>
      <c r="BF106" s="154">
        <v>6533.877551020409</v>
      </c>
      <c r="BG106" s="146">
        <v>6547</v>
      </c>
      <c r="BH106" s="139">
        <v>2819</v>
      </c>
      <c r="BI106" s="139">
        <v>15257</v>
      </c>
      <c r="BJ106" s="139">
        <v>-12438</v>
      </c>
      <c r="BK106" s="146">
        <v>6067</v>
      </c>
      <c r="BL106" s="146">
        <v>6922</v>
      </c>
      <c r="BM106" s="160"/>
      <c r="BO106" s="138">
        <v>20</v>
      </c>
      <c r="BP106" s="138">
        <v>33</v>
      </c>
      <c r="BQ106" s="139">
        <v>604</v>
      </c>
      <c r="BR106" s="138">
        <v>702</v>
      </c>
      <c r="BS106" s="138">
        <v>189</v>
      </c>
      <c r="BU106" s="139">
        <v>91</v>
      </c>
      <c r="BV106" s="138">
        <v>25</v>
      </c>
      <c r="BY106" s="138">
        <v>116</v>
      </c>
      <c r="BZ106" s="139">
        <v>2443</v>
      </c>
      <c r="CA106" s="139">
        <v>794</v>
      </c>
      <c r="CB106" s="176"/>
      <c r="CC106" s="138">
        <v>45</v>
      </c>
      <c r="CD106" s="151">
        <v>-100</v>
      </c>
      <c r="CE106" s="151">
        <v>384</v>
      </c>
      <c r="CF106" s="138">
        <v>6067</v>
      </c>
      <c r="CG106" s="139">
        <v>5420</v>
      </c>
      <c r="CH106" s="139">
        <v>323</v>
      </c>
      <c r="CI106" s="139">
        <v>324</v>
      </c>
      <c r="CJ106" s="114">
        <v>19</v>
      </c>
      <c r="CK106" s="152"/>
      <c r="CL106" s="138">
        <v>88</v>
      </c>
      <c r="CM106" s="190">
        <v>2423</v>
      </c>
      <c r="CN106" s="146"/>
      <c r="CO106" s="150">
        <v>14.125</v>
      </c>
      <c r="CP106" s="150">
        <v>16.74074074074074</v>
      </c>
      <c r="CQ106" s="151">
        <v>61.0813041683863</v>
      </c>
      <c r="CR106" s="152"/>
      <c r="CS106" s="152"/>
      <c r="CT106" s="152"/>
      <c r="CU106" s="150">
        <v>79.34488557432185</v>
      </c>
      <c r="CV106" s="151">
        <v>835.3281056541477</v>
      </c>
      <c r="CW106" s="151">
        <v>43.31125051298587</v>
      </c>
      <c r="CX106" s="154">
        <v>7039.620305406521</v>
      </c>
      <c r="CY106" s="146">
        <v>6583</v>
      </c>
      <c r="CZ106" s="139">
        <v>2943</v>
      </c>
      <c r="DA106" s="139">
        <v>15467</v>
      </c>
      <c r="DB106" s="139">
        <v>-12524</v>
      </c>
      <c r="DC106" s="146">
        <v>6482</v>
      </c>
      <c r="DD106" s="146">
        <v>7450</v>
      </c>
      <c r="DE106" s="160"/>
      <c r="DG106" s="138">
        <v>38</v>
      </c>
      <c r="DH106" s="138">
        <v>19</v>
      </c>
      <c r="DI106" s="139">
        <v>1465</v>
      </c>
      <c r="DJ106" s="138">
        <v>595</v>
      </c>
      <c r="DK106" s="138">
        <v>304</v>
      </c>
      <c r="DM106" s="139">
        <v>1174</v>
      </c>
      <c r="DN106" s="138">
        <v>25</v>
      </c>
      <c r="DO106" s="138">
        <v>-650</v>
      </c>
      <c r="DQ106" s="138">
        <v>549</v>
      </c>
      <c r="DR106" s="139">
        <v>2993</v>
      </c>
      <c r="DS106" s="139">
        <v>1769</v>
      </c>
      <c r="DT106" s="176"/>
      <c r="DU106" s="138">
        <v>-12</v>
      </c>
      <c r="DV106" s="151">
        <v>-100</v>
      </c>
      <c r="DW106" s="138">
        <v>314</v>
      </c>
      <c r="DX106" s="138">
        <v>6482</v>
      </c>
      <c r="DY106" s="146">
        <v>5828</v>
      </c>
      <c r="DZ106" s="196">
        <v>315</v>
      </c>
      <c r="EA106" s="146">
        <v>339</v>
      </c>
      <c r="EB106" s="114">
        <v>19.5</v>
      </c>
      <c r="EC106" s="152"/>
      <c r="ED106" s="138">
        <v>33</v>
      </c>
      <c r="EE106" s="138">
        <v>6825</v>
      </c>
      <c r="EF106" s="138">
        <v>7117</v>
      </c>
      <c r="EG106" s="138">
        <v>7323</v>
      </c>
      <c r="EH106" s="138"/>
      <c r="EI106" s="138"/>
      <c r="EJ106" s="138"/>
      <c r="EK106" s="3">
        <v>-476</v>
      </c>
      <c r="EL106" s="138">
        <v>114</v>
      </c>
      <c r="EM106" s="138">
        <v>41</v>
      </c>
      <c r="EN106" s="3">
        <v>-640</v>
      </c>
      <c r="EO106" s="138">
        <v>139</v>
      </c>
      <c r="EP106" s="138">
        <v>91</v>
      </c>
      <c r="EQ106" s="3">
        <v>-1485</v>
      </c>
      <c r="ER106" s="138">
        <v>27</v>
      </c>
      <c r="ES106" s="138">
        <v>3</v>
      </c>
      <c r="ET106" s="163"/>
      <c r="EU106" s="163"/>
      <c r="EV106" s="138"/>
      <c r="EW106" s="138"/>
      <c r="EX106" s="138"/>
      <c r="EY106" s="138"/>
      <c r="EZ106" s="138">
        <v>600</v>
      </c>
      <c r="FA106" s="138">
        <v>500</v>
      </c>
      <c r="FB106" s="138">
        <v>100</v>
      </c>
      <c r="FC106" s="138">
        <v>23</v>
      </c>
      <c r="FD106" s="138">
        <v>500</v>
      </c>
      <c r="FE106" s="138">
        <v>400</v>
      </c>
      <c r="FF106" s="138">
        <v>100</v>
      </c>
      <c r="FG106" s="138">
        <v>23</v>
      </c>
      <c r="FH106" s="138">
        <v>400</v>
      </c>
      <c r="FI106" s="138">
        <v>300</v>
      </c>
      <c r="FJ106" s="138">
        <v>101</v>
      </c>
      <c r="FK106" s="138">
        <v>23</v>
      </c>
      <c r="FL106" s="147">
        <v>1266</v>
      </c>
      <c r="FM106" s="147">
        <v>1332.6530612244899</v>
      </c>
      <c r="FO106" s="181">
        <f t="shared" si="3"/>
        <v>298.87179487179486</v>
      </c>
      <c r="FP106" s="179">
        <f t="shared" si="5"/>
        <v>123.34783114807878</v>
      </c>
      <c r="FR106" s="184"/>
      <c r="FV106" s="184">
        <v>100</v>
      </c>
      <c r="FW106" s="2">
        <f t="shared" si="4"/>
        <v>-100</v>
      </c>
    </row>
    <row r="107" spans="1:179" ht="12.75">
      <c r="A107" s="82">
        <v>285</v>
      </c>
      <c r="B107" s="80" t="s">
        <v>103</v>
      </c>
      <c r="C107" s="191">
        <v>54831</v>
      </c>
      <c r="D107" s="146"/>
      <c r="E107" s="150">
        <v>0.3631912762879715</v>
      </c>
      <c r="F107" s="150">
        <v>75.3</v>
      </c>
      <c r="G107" s="151">
        <v>-3867</v>
      </c>
      <c r="H107" s="152"/>
      <c r="I107" s="152"/>
      <c r="J107" s="152"/>
      <c r="K107" s="150">
        <v>51.6</v>
      </c>
      <c r="L107" s="151">
        <v>236</v>
      </c>
      <c r="M107" s="151">
        <v>12</v>
      </c>
      <c r="N107" s="154">
        <v>6565.391840382265</v>
      </c>
      <c r="O107" s="146">
        <v>150420</v>
      </c>
      <c r="P107" s="139">
        <v>93436</v>
      </c>
      <c r="Q107" s="139">
        <v>354895</v>
      </c>
      <c r="R107" s="139">
        <v>-261459</v>
      </c>
      <c r="S107" s="146">
        <v>190828</v>
      </c>
      <c r="T107" s="139">
        <v>80944</v>
      </c>
      <c r="U107" s="160"/>
      <c r="W107" s="138">
        <v>-4285</v>
      </c>
      <c r="X107" s="138">
        <v>3753</v>
      </c>
      <c r="Y107" s="139">
        <v>9781</v>
      </c>
      <c r="Z107" s="138">
        <v>18293</v>
      </c>
      <c r="AA107" s="139">
        <v>7791</v>
      </c>
      <c r="AB107" s="139"/>
      <c r="AC107" s="139">
        <v>-721</v>
      </c>
      <c r="AD107" s="139">
        <v>1227</v>
      </c>
      <c r="AG107" s="139">
        <v>506</v>
      </c>
      <c r="AH107" s="139">
        <v>-3892</v>
      </c>
      <c r="AI107" s="139">
        <v>7674</v>
      </c>
      <c r="AJ107" s="176"/>
      <c r="AK107" s="139">
        <v>-14172</v>
      </c>
      <c r="AL107" s="151">
        <v>-26950</v>
      </c>
      <c r="AM107" s="151">
        <v>1748</v>
      </c>
      <c r="AN107" s="146">
        <v>190828</v>
      </c>
      <c r="AO107" s="139">
        <v>166565</v>
      </c>
      <c r="AP107" s="139">
        <v>11860</v>
      </c>
      <c r="AQ107" s="139">
        <v>12403</v>
      </c>
      <c r="AR107" s="114">
        <v>19.5</v>
      </c>
      <c r="AS107" s="152"/>
      <c r="AT107" s="138">
        <v>214</v>
      </c>
      <c r="AU107" s="191">
        <v>54873</v>
      </c>
      <c r="AV107" s="146"/>
      <c r="AW107" s="150">
        <v>-0.28699484200510794</v>
      </c>
      <c r="AX107" s="150">
        <v>81.7</v>
      </c>
      <c r="AY107" s="151">
        <v>-4626</v>
      </c>
      <c r="AZ107" s="152"/>
      <c r="BA107" s="152"/>
      <c r="BB107" s="152"/>
      <c r="BC107" s="150">
        <v>47.2</v>
      </c>
      <c r="BD107" s="151" t="s">
        <v>389</v>
      </c>
      <c r="BE107" s="151" t="s">
        <v>389</v>
      </c>
      <c r="BF107" s="154">
        <v>7912.361270570225</v>
      </c>
      <c r="BG107" s="146">
        <v>159469</v>
      </c>
      <c r="BH107" s="139">
        <v>93821</v>
      </c>
      <c r="BI107" s="139">
        <v>377597</v>
      </c>
      <c r="BJ107" s="139">
        <v>-283776</v>
      </c>
      <c r="BK107" s="146">
        <v>189039</v>
      </c>
      <c r="BL107" s="146">
        <v>85662</v>
      </c>
      <c r="BM107" s="160"/>
      <c r="BO107" s="138">
        <v>-3507</v>
      </c>
      <c r="BP107" s="138">
        <v>2286</v>
      </c>
      <c r="BQ107" s="139">
        <v>-10296</v>
      </c>
      <c r="BR107" s="138">
        <v>19000</v>
      </c>
      <c r="BS107" s="139">
        <v>1869</v>
      </c>
      <c r="BT107" s="139"/>
      <c r="BU107" s="139">
        <v>-27427</v>
      </c>
      <c r="BV107" s="139">
        <v>1227</v>
      </c>
      <c r="BY107" s="138">
        <v>-26200</v>
      </c>
      <c r="BZ107" s="139">
        <v>-30092</v>
      </c>
      <c r="CA107" s="139">
        <v>-13446</v>
      </c>
      <c r="CB107" s="176"/>
      <c r="CC107" s="139">
        <v>2505</v>
      </c>
      <c r="CD107" s="151">
        <v>-15404</v>
      </c>
      <c r="CE107" s="151">
        <v>-42981</v>
      </c>
      <c r="CF107" s="138">
        <v>189039</v>
      </c>
      <c r="CG107" s="139">
        <v>169378</v>
      </c>
      <c r="CH107" s="139">
        <v>7032</v>
      </c>
      <c r="CI107" s="139">
        <v>12629</v>
      </c>
      <c r="CJ107" s="114">
        <v>19.5</v>
      </c>
      <c r="CK107" s="152"/>
      <c r="CL107" s="138">
        <v>305</v>
      </c>
      <c r="CM107" s="190">
        <v>54771</v>
      </c>
      <c r="CN107" s="146"/>
      <c r="CO107" s="150">
        <v>0.26464468629961585</v>
      </c>
      <c r="CP107" s="150">
        <v>78.06194649280344</v>
      </c>
      <c r="CQ107" s="151">
        <v>-4744.572857899254</v>
      </c>
      <c r="CR107" s="152"/>
      <c r="CS107" s="152"/>
      <c r="CT107" s="152"/>
      <c r="CU107" s="150">
        <v>45.6375768494145</v>
      </c>
      <c r="CV107" s="151">
        <v>0</v>
      </c>
      <c r="CW107" s="151">
        <v>0</v>
      </c>
      <c r="CX107" s="154">
        <v>8055.576856365596</v>
      </c>
      <c r="CY107" s="146">
        <v>157386</v>
      </c>
      <c r="CZ107" s="139">
        <v>92287</v>
      </c>
      <c r="DA107" s="139">
        <v>385446</v>
      </c>
      <c r="DB107" s="139">
        <v>-293159</v>
      </c>
      <c r="DC107" s="146">
        <v>207652</v>
      </c>
      <c r="DD107" s="146">
        <v>90210</v>
      </c>
      <c r="DE107" s="160"/>
      <c r="DG107" s="138">
        <v>-3074</v>
      </c>
      <c r="DH107" s="138">
        <v>4335</v>
      </c>
      <c r="DI107" s="139">
        <v>5964</v>
      </c>
      <c r="DJ107" s="138">
        <v>21345</v>
      </c>
      <c r="DK107" s="139">
        <v>1491</v>
      </c>
      <c r="DL107" s="139">
        <v>64</v>
      </c>
      <c r="DM107" s="139">
        <v>-13954</v>
      </c>
      <c r="DN107" s="139">
        <v>1227</v>
      </c>
      <c r="DQ107" s="138">
        <v>-12727</v>
      </c>
      <c r="DR107" s="139">
        <v>-42819</v>
      </c>
      <c r="DS107" s="139">
        <v>5222</v>
      </c>
      <c r="DT107" s="176"/>
      <c r="DU107" s="139">
        <v>2521</v>
      </c>
      <c r="DV107" s="151">
        <v>-33531</v>
      </c>
      <c r="DW107" s="138">
        <v>-6813</v>
      </c>
      <c r="DX107" s="138">
        <v>207652</v>
      </c>
      <c r="DY107" s="146">
        <v>185757</v>
      </c>
      <c r="DZ107" s="196">
        <v>8583</v>
      </c>
      <c r="EA107" s="146">
        <v>13312</v>
      </c>
      <c r="EB107" s="114">
        <v>20.5</v>
      </c>
      <c r="EC107" s="152"/>
      <c r="ED107" s="138">
        <v>243</v>
      </c>
      <c r="EE107" s="138">
        <v>145982</v>
      </c>
      <c r="EF107" s="138">
        <v>154672</v>
      </c>
      <c r="EG107" s="138">
        <v>163430</v>
      </c>
      <c r="EH107" s="138"/>
      <c r="EI107" s="138"/>
      <c r="EJ107" s="138">
        <v>1700</v>
      </c>
      <c r="EK107" s="3">
        <v>-22035</v>
      </c>
      <c r="EL107" s="138">
        <v>851</v>
      </c>
      <c r="EM107" s="138">
        <v>15258</v>
      </c>
      <c r="EN107" s="3">
        <v>-35283</v>
      </c>
      <c r="EO107" s="138">
        <v>943</v>
      </c>
      <c r="EP107" s="138">
        <v>4805</v>
      </c>
      <c r="EQ107" s="3">
        <v>-16978</v>
      </c>
      <c r="ER107" s="138">
        <v>-154</v>
      </c>
      <c r="ES107" s="138">
        <v>5097</v>
      </c>
      <c r="ET107" s="163">
        <v>23805</v>
      </c>
      <c r="EU107" s="163">
        <v>-2059</v>
      </c>
      <c r="EV107" s="138">
        <v>23805</v>
      </c>
      <c r="EW107" s="138">
        <v>9968</v>
      </c>
      <c r="EX107" s="138">
        <v>30000</v>
      </c>
      <c r="EY107" s="138">
        <v>9117</v>
      </c>
      <c r="EZ107" s="138">
        <v>229389</v>
      </c>
      <c r="FA107" s="138">
        <v>196758</v>
      </c>
      <c r="FB107" s="138">
        <v>32631</v>
      </c>
      <c r="FC107" s="138">
        <v>4781</v>
      </c>
      <c r="FD107" s="138">
        <v>247656</v>
      </c>
      <c r="FE107" s="138">
        <v>200827</v>
      </c>
      <c r="FF107" s="138">
        <v>46829</v>
      </c>
      <c r="FG107" s="138">
        <v>4781</v>
      </c>
      <c r="FH107" s="138">
        <v>253273</v>
      </c>
      <c r="FI107" s="138">
        <v>194307</v>
      </c>
      <c r="FJ107" s="138">
        <v>58966</v>
      </c>
      <c r="FK107" s="138">
        <v>4781</v>
      </c>
      <c r="FL107" s="147">
        <v>10447</v>
      </c>
      <c r="FM107" s="147">
        <v>10607.220308712846</v>
      </c>
      <c r="FO107" s="181">
        <f t="shared" si="3"/>
        <v>9061.317073170732</v>
      </c>
      <c r="FP107" s="179">
        <f t="shared" si="5"/>
        <v>165.44005172756994</v>
      </c>
      <c r="FR107" s="184"/>
      <c r="FV107" s="184">
        <v>26950</v>
      </c>
      <c r="FW107" s="2">
        <f t="shared" si="4"/>
        <v>-26950</v>
      </c>
    </row>
    <row r="108" spans="1:179" ht="12.75">
      <c r="A108" s="82">
        <v>286</v>
      </c>
      <c r="B108" s="80" t="s">
        <v>104</v>
      </c>
      <c r="C108" s="191">
        <v>87567</v>
      </c>
      <c r="D108" s="146"/>
      <c r="E108" s="150">
        <v>0.8585200721198072</v>
      </c>
      <c r="F108" s="150">
        <v>36.4</v>
      </c>
      <c r="G108" s="151">
        <v>-1639</v>
      </c>
      <c r="H108" s="152"/>
      <c r="I108" s="152"/>
      <c r="J108" s="152"/>
      <c r="K108" s="150">
        <v>61.7</v>
      </c>
      <c r="L108" s="151">
        <v>217</v>
      </c>
      <c r="M108" s="151">
        <v>12</v>
      </c>
      <c r="N108" s="154">
        <v>6762.387657450867</v>
      </c>
      <c r="O108" s="146">
        <v>273471</v>
      </c>
      <c r="P108" s="139">
        <v>101966</v>
      </c>
      <c r="Q108" s="139">
        <v>542765</v>
      </c>
      <c r="R108" s="139">
        <v>-440799</v>
      </c>
      <c r="S108" s="146">
        <v>307090</v>
      </c>
      <c r="T108" s="139">
        <v>150218</v>
      </c>
      <c r="U108" s="160"/>
      <c r="W108" s="138">
        <v>-1492</v>
      </c>
      <c r="X108" s="138">
        <v>2882</v>
      </c>
      <c r="Y108" s="139">
        <v>17899</v>
      </c>
      <c r="Z108" s="138">
        <v>19853</v>
      </c>
      <c r="AA108" s="138">
        <v>193</v>
      </c>
      <c r="AC108" s="139">
        <v>-1761</v>
      </c>
      <c r="AD108" s="139">
        <v>102</v>
      </c>
      <c r="AE108" s="139"/>
      <c r="AG108" s="139">
        <v>-1659</v>
      </c>
      <c r="AH108" s="139">
        <v>1646</v>
      </c>
      <c r="AI108" s="139">
        <v>15393</v>
      </c>
      <c r="AJ108" s="176"/>
      <c r="AK108" s="139">
        <v>-5004</v>
      </c>
      <c r="AL108" s="151">
        <v>-21744</v>
      </c>
      <c r="AM108" s="151">
        <v>-14957</v>
      </c>
      <c r="AN108" s="146">
        <v>307090</v>
      </c>
      <c r="AO108" s="139">
        <v>266792</v>
      </c>
      <c r="AP108" s="139">
        <v>20525</v>
      </c>
      <c r="AQ108" s="139">
        <v>19773</v>
      </c>
      <c r="AR108" s="114">
        <v>20</v>
      </c>
      <c r="AS108" s="152"/>
      <c r="AT108" s="138">
        <v>197</v>
      </c>
      <c r="AU108" s="191">
        <v>87296</v>
      </c>
      <c r="AV108" s="146"/>
      <c r="AW108" s="150">
        <v>0.10989942584100805</v>
      </c>
      <c r="AX108" s="150">
        <v>42.4</v>
      </c>
      <c r="AY108" s="151">
        <v>-2093</v>
      </c>
      <c r="AZ108" s="152"/>
      <c r="BA108" s="152"/>
      <c r="BB108" s="152"/>
      <c r="BC108" s="150">
        <v>56.3</v>
      </c>
      <c r="BD108" s="151">
        <v>229</v>
      </c>
      <c r="BE108" s="151">
        <v>11</v>
      </c>
      <c r="BF108" s="154">
        <v>7385.183742668622</v>
      </c>
      <c r="BG108" s="146">
        <v>288419</v>
      </c>
      <c r="BH108" s="139">
        <v>100594</v>
      </c>
      <c r="BI108" s="139">
        <v>573957</v>
      </c>
      <c r="BJ108" s="139">
        <v>-473363</v>
      </c>
      <c r="BK108" s="146">
        <v>309134</v>
      </c>
      <c r="BL108" s="146">
        <v>159648</v>
      </c>
      <c r="BM108" s="160"/>
      <c r="BO108" s="138">
        <v>-1611</v>
      </c>
      <c r="BP108" s="138">
        <v>5892</v>
      </c>
      <c r="BQ108" s="139">
        <v>-300</v>
      </c>
      <c r="BR108" s="138">
        <v>20784</v>
      </c>
      <c r="BS108" s="138">
        <v>2046</v>
      </c>
      <c r="BU108" s="139">
        <v>-19038</v>
      </c>
      <c r="BV108" s="139">
        <v>3550</v>
      </c>
      <c r="BW108" s="139"/>
      <c r="BY108" s="138">
        <v>-15488</v>
      </c>
      <c r="BZ108" s="139">
        <v>-8532</v>
      </c>
      <c r="CA108" s="139">
        <v>-3925</v>
      </c>
      <c r="CB108" s="176"/>
      <c r="CC108" s="139">
        <v>3731</v>
      </c>
      <c r="CD108" s="151">
        <v>-22799</v>
      </c>
      <c r="CE108" s="151">
        <v>-42114</v>
      </c>
      <c r="CF108" s="138">
        <v>309134</v>
      </c>
      <c r="CG108" s="139">
        <v>271435</v>
      </c>
      <c r="CH108" s="139">
        <v>15166</v>
      </c>
      <c r="CI108" s="139">
        <v>22533</v>
      </c>
      <c r="CJ108" s="114">
        <v>20</v>
      </c>
      <c r="CK108" s="152"/>
      <c r="CL108" s="138">
        <v>241</v>
      </c>
      <c r="CM108" s="190">
        <v>86926</v>
      </c>
      <c r="CN108" s="146"/>
      <c r="CO108" s="150">
        <v>1.051174691788788</v>
      </c>
      <c r="CP108" s="150">
        <v>46.235266689117424</v>
      </c>
      <c r="CQ108" s="151">
        <v>-2241.607804339323</v>
      </c>
      <c r="CR108" s="152"/>
      <c r="CS108" s="152"/>
      <c r="CT108" s="152"/>
      <c r="CU108" s="150">
        <v>53.98348328414402</v>
      </c>
      <c r="CV108" s="151">
        <v>404.15986011089893</v>
      </c>
      <c r="CW108" s="151">
        <v>20.461987958824476</v>
      </c>
      <c r="CX108" s="154">
        <v>7209.384994132941</v>
      </c>
      <c r="CY108" s="146">
        <v>278039</v>
      </c>
      <c r="CZ108" s="139">
        <v>94363</v>
      </c>
      <c r="DA108" s="139">
        <v>567273</v>
      </c>
      <c r="DB108" s="139">
        <v>-472910</v>
      </c>
      <c r="DC108" s="146">
        <v>326022</v>
      </c>
      <c r="DD108" s="146">
        <v>164042</v>
      </c>
      <c r="DE108" s="160"/>
      <c r="DG108" s="138">
        <v>-1351</v>
      </c>
      <c r="DH108" s="138">
        <v>8565</v>
      </c>
      <c r="DI108" s="139">
        <v>24368</v>
      </c>
      <c r="DJ108" s="138">
        <v>20556</v>
      </c>
      <c r="DM108" s="139">
        <v>3812</v>
      </c>
      <c r="DN108" s="139">
        <v>102</v>
      </c>
      <c r="DO108" s="139"/>
      <c r="DQ108" s="138">
        <v>3914</v>
      </c>
      <c r="DR108" s="139">
        <v>-4619</v>
      </c>
      <c r="DS108" s="139">
        <v>23018</v>
      </c>
      <c r="DT108" s="176"/>
      <c r="DU108" s="139">
        <v>-1853</v>
      </c>
      <c r="DV108" s="151">
        <v>-23048</v>
      </c>
      <c r="DW108" s="138">
        <v>-10433</v>
      </c>
      <c r="DX108" s="138">
        <v>326022</v>
      </c>
      <c r="DY108" s="146">
        <v>286092</v>
      </c>
      <c r="DZ108" s="196">
        <v>16241</v>
      </c>
      <c r="EA108" s="146">
        <v>23689</v>
      </c>
      <c r="EB108" s="114">
        <v>20</v>
      </c>
      <c r="EC108" s="152"/>
      <c r="ED108" s="138">
        <v>154</v>
      </c>
      <c r="EE108" s="138">
        <v>194218</v>
      </c>
      <c r="EF108" s="138">
        <v>205371</v>
      </c>
      <c r="EG108" s="138">
        <v>205408</v>
      </c>
      <c r="EH108" s="138"/>
      <c r="EI108" s="138"/>
      <c r="EJ108" s="138"/>
      <c r="EK108" s="3">
        <v>-37302</v>
      </c>
      <c r="EL108" s="138">
        <v>2066</v>
      </c>
      <c r="EM108" s="138">
        <v>4886</v>
      </c>
      <c r="EN108" s="3">
        <v>-50735</v>
      </c>
      <c r="EO108" s="138">
        <v>3318</v>
      </c>
      <c r="EP108" s="138">
        <v>9228</v>
      </c>
      <c r="EQ108" s="3">
        <v>-38619</v>
      </c>
      <c r="ER108" s="138">
        <v>3637</v>
      </c>
      <c r="ES108" s="138">
        <v>1531</v>
      </c>
      <c r="ET108" s="163">
        <v>30000</v>
      </c>
      <c r="EU108" s="163">
        <v>301</v>
      </c>
      <c r="EV108" s="138">
        <v>44661</v>
      </c>
      <c r="EW108" s="138">
        <v>5669</v>
      </c>
      <c r="EX108" s="138">
        <v>55855</v>
      </c>
      <c r="EY108" s="138">
        <v>-5970</v>
      </c>
      <c r="EZ108" s="138">
        <v>131750</v>
      </c>
      <c r="FA108" s="138">
        <v>109684</v>
      </c>
      <c r="FB108" s="138">
        <v>22066</v>
      </c>
      <c r="FC108" s="138">
        <v>23296</v>
      </c>
      <c r="FD108" s="138">
        <v>159281</v>
      </c>
      <c r="FE108" s="138">
        <v>130263</v>
      </c>
      <c r="FF108" s="138">
        <v>29018</v>
      </c>
      <c r="FG108" s="138">
        <v>21716</v>
      </c>
      <c r="FH108" s="138">
        <v>186118</v>
      </c>
      <c r="FI108" s="138">
        <v>164364</v>
      </c>
      <c r="FJ108" s="138">
        <v>21754</v>
      </c>
      <c r="FK108" s="138">
        <v>21583</v>
      </c>
      <c r="FL108" s="147">
        <v>3255</v>
      </c>
      <c r="FM108" s="147">
        <v>3543.0489369501465</v>
      </c>
      <c r="FO108" s="181">
        <f t="shared" si="3"/>
        <v>14304.6</v>
      </c>
      <c r="FP108" s="179">
        <f t="shared" si="5"/>
        <v>164.56066079193798</v>
      </c>
      <c r="FR108" s="184"/>
      <c r="FV108" s="184">
        <v>21744</v>
      </c>
      <c r="FW108" s="2">
        <f t="shared" si="4"/>
        <v>-21744</v>
      </c>
    </row>
    <row r="109" spans="1:179" ht="12.75">
      <c r="A109" s="82">
        <v>287</v>
      </c>
      <c r="B109" s="80" t="s">
        <v>395</v>
      </c>
      <c r="C109" s="191">
        <v>7096</v>
      </c>
      <c r="D109" s="146"/>
      <c r="E109" s="150">
        <v>0.6409239786243751</v>
      </c>
      <c r="F109" s="150">
        <v>54.2</v>
      </c>
      <c r="G109" s="151">
        <v>-2447</v>
      </c>
      <c r="H109" s="152"/>
      <c r="I109" s="152"/>
      <c r="J109" s="152"/>
      <c r="K109" s="150">
        <v>40.7</v>
      </c>
      <c r="L109" s="151">
        <v>387</v>
      </c>
      <c r="M109" s="151">
        <v>19</v>
      </c>
      <c r="N109" s="154">
        <v>14674.746335963924</v>
      </c>
      <c r="O109" s="146">
        <v>21438</v>
      </c>
      <c r="P109" s="139">
        <v>7974</v>
      </c>
      <c r="Q109" s="139">
        <v>44600</v>
      </c>
      <c r="R109" s="139">
        <v>-36626</v>
      </c>
      <c r="S109" s="146">
        <v>20311</v>
      </c>
      <c r="T109" s="139">
        <v>16864</v>
      </c>
      <c r="U109" s="160"/>
      <c r="W109" s="138">
        <v>-389</v>
      </c>
      <c r="X109" s="138">
        <v>67</v>
      </c>
      <c r="Y109" s="139">
        <v>227</v>
      </c>
      <c r="Z109" s="138">
        <v>1622</v>
      </c>
      <c r="AC109" s="139">
        <v>-1395</v>
      </c>
      <c r="AD109" s="139"/>
      <c r="AF109" s="139"/>
      <c r="AG109" s="139">
        <v>-1395</v>
      </c>
      <c r="AH109" s="139">
        <v>1512</v>
      </c>
      <c r="AI109" s="139">
        <v>-225</v>
      </c>
      <c r="AJ109" s="176"/>
      <c r="AK109" s="138">
        <v>-1432</v>
      </c>
      <c r="AL109" s="151">
        <v>-2310</v>
      </c>
      <c r="AM109" s="151">
        <v>-4984</v>
      </c>
      <c r="AN109" s="146">
        <v>20311</v>
      </c>
      <c r="AO109" s="139">
        <v>17412</v>
      </c>
      <c r="AP109" s="139">
        <v>1402</v>
      </c>
      <c r="AQ109" s="139">
        <v>1497</v>
      </c>
      <c r="AR109" s="114">
        <v>20</v>
      </c>
      <c r="AS109" s="152"/>
      <c r="AT109" s="138">
        <v>274</v>
      </c>
      <c r="AU109" s="191">
        <v>7055</v>
      </c>
      <c r="AV109" s="146"/>
      <c r="AW109" s="150">
        <v>-0.01823185414516684</v>
      </c>
      <c r="AX109" s="150">
        <v>57.1</v>
      </c>
      <c r="AY109" s="151">
        <v>-2913</v>
      </c>
      <c r="AZ109" s="152"/>
      <c r="BA109" s="152"/>
      <c r="BB109" s="152"/>
      <c r="BC109" s="150">
        <v>35.4</v>
      </c>
      <c r="BD109" s="151">
        <v>403</v>
      </c>
      <c r="BE109" s="151">
        <v>20</v>
      </c>
      <c r="BF109" s="154">
        <v>7525.7264351523745</v>
      </c>
      <c r="BG109" s="146">
        <v>22763</v>
      </c>
      <c r="BH109" s="139">
        <v>7903</v>
      </c>
      <c r="BI109" s="139">
        <v>47399</v>
      </c>
      <c r="BJ109" s="139">
        <v>-39496</v>
      </c>
      <c r="BK109" s="146">
        <v>20970</v>
      </c>
      <c r="BL109" s="146">
        <v>18401</v>
      </c>
      <c r="BM109" s="160"/>
      <c r="BO109" s="138">
        <v>-416</v>
      </c>
      <c r="BP109" s="138">
        <v>50</v>
      </c>
      <c r="BQ109" s="139">
        <v>-491</v>
      </c>
      <c r="BR109" s="138">
        <v>1747</v>
      </c>
      <c r="BU109" s="139">
        <v>-2238</v>
      </c>
      <c r="BV109" s="139"/>
      <c r="BX109" s="139"/>
      <c r="BY109" s="138">
        <v>-2238</v>
      </c>
      <c r="BZ109" s="139">
        <v>-726</v>
      </c>
      <c r="CA109" s="139">
        <v>-789</v>
      </c>
      <c r="CB109" s="176"/>
      <c r="CC109" s="138">
        <v>600</v>
      </c>
      <c r="CD109" s="151">
        <v>-2469</v>
      </c>
      <c r="CE109" s="151">
        <v>-3157</v>
      </c>
      <c r="CF109" s="138">
        <v>20970</v>
      </c>
      <c r="CG109" s="139">
        <v>18416</v>
      </c>
      <c r="CH109" s="139">
        <v>950</v>
      </c>
      <c r="CI109" s="139">
        <v>1604</v>
      </c>
      <c r="CJ109" s="114">
        <v>20</v>
      </c>
      <c r="CK109" s="152"/>
      <c r="CL109" s="138">
        <v>276</v>
      </c>
      <c r="CM109" s="190">
        <v>7001</v>
      </c>
      <c r="CN109" s="146"/>
      <c r="CO109" s="150">
        <v>0.21172988969599138</v>
      </c>
      <c r="CP109" s="150">
        <v>64.21767580551644</v>
      </c>
      <c r="CQ109" s="151">
        <v>-3546.207684616483</v>
      </c>
      <c r="CR109" s="152"/>
      <c r="CS109" s="152"/>
      <c r="CT109" s="152"/>
      <c r="CU109" s="150">
        <v>31.897854336657602</v>
      </c>
      <c r="CV109" s="151">
        <v>450.5070704185116</v>
      </c>
      <c r="CW109" s="151">
        <v>20.520311580898735</v>
      </c>
      <c r="CX109" s="154">
        <v>8013.283816597628</v>
      </c>
      <c r="CY109" s="146">
        <v>22413</v>
      </c>
      <c r="CZ109" s="139">
        <v>7607</v>
      </c>
      <c r="DA109" s="139">
        <v>47562</v>
      </c>
      <c r="DB109" s="139">
        <v>-39955</v>
      </c>
      <c r="DC109" s="146">
        <v>21633</v>
      </c>
      <c r="DD109" s="146">
        <v>19052</v>
      </c>
      <c r="DE109" s="160"/>
      <c r="DG109" s="138">
        <v>-465</v>
      </c>
      <c r="DH109" s="138">
        <v>55</v>
      </c>
      <c r="DI109" s="139">
        <v>320</v>
      </c>
      <c r="DJ109" s="138">
        <v>1887</v>
      </c>
      <c r="DM109" s="139">
        <v>-1567</v>
      </c>
      <c r="DN109" s="139"/>
      <c r="DP109" s="139"/>
      <c r="DQ109" s="138">
        <v>-1567</v>
      </c>
      <c r="DR109" s="139">
        <v>-2299</v>
      </c>
      <c r="DS109" s="139">
        <v>79</v>
      </c>
      <c r="DT109" s="176"/>
      <c r="DU109" s="138">
        <v>101</v>
      </c>
      <c r="DV109" s="151">
        <v>-3250</v>
      </c>
      <c r="DW109" s="138">
        <v>-4363</v>
      </c>
      <c r="DX109" s="138">
        <v>21633</v>
      </c>
      <c r="DY109" s="146">
        <v>19054</v>
      </c>
      <c r="DZ109" s="196">
        <v>921</v>
      </c>
      <c r="EA109" s="146">
        <v>1658</v>
      </c>
      <c r="EB109" s="114">
        <v>20.5</v>
      </c>
      <c r="EC109" s="152"/>
      <c r="ED109" s="138">
        <v>262</v>
      </c>
      <c r="EE109" s="138">
        <v>17451</v>
      </c>
      <c r="EF109" s="138">
        <v>18749</v>
      </c>
      <c r="EG109" s="138">
        <v>19693</v>
      </c>
      <c r="EH109" s="138"/>
      <c r="EI109" s="138"/>
      <c r="EJ109" s="138"/>
      <c r="EK109" s="3">
        <v>-5707</v>
      </c>
      <c r="EL109" s="138">
        <v>445</v>
      </c>
      <c r="EM109" s="138">
        <v>503</v>
      </c>
      <c r="EN109" s="3">
        <v>-2762</v>
      </c>
      <c r="EO109" s="138">
        <v>92</v>
      </c>
      <c r="EP109" s="138">
        <v>302</v>
      </c>
      <c r="EQ109" s="3">
        <v>-4777</v>
      </c>
      <c r="ER109" s="138">
        <v>96</v>
      </c>
      <c r="ES109" s="138">
        <v>239</v>
      </c>
      <c r="ET109" s="163">
        <v>8010</v>
      </c>
      <c r="EU109" s="163">
        <v>-340</v>
      </c>
      <c r="EV109" s="138">
        <v>6100</v>
      </c>
      <c r="EW109" s="138"/>
      <c r="EX109" s="138">
        <v>7186</v>
      </c>
      <c r="EY109" s="138"/>
      <c r="EZ109" s="138">
        <v>15902</v>
      </c>
      <c r="FA109" s="138">
        <v>14485</v>
      </c>
      <c r="FB109" s="138">
        <v>1417</v>
      </c>
      <c r="FC109" s="138">
        <v>119</v>
      </c>
      <c r="FD109" s="138">
        <v>19534</v>
      </c>
      <c r="FE109" s="138">
        <v>16819</v>
      </c>
      <c r="FF109" s="138">
        <v>2715</v>
      </c>
      <c r="FG109" s="138">
        <v>0</v>
      </c>
      <c r="FH109" s="138">
        <v>23472</v>
      </c>
      <c r="FI109" s="138">
        <v>20470</v>
      </c>
      <c r="FJ109" s="138">
        <v>3002</v>
      </c>
      <c r="FK109" s="138">
        <v>0</v>
      </c>
      <c r="FL109" s="147">
        <v>2663</v>
      </c>
      <c r="FM109" s="147">
        <v>3391.2119064493268</v>
      </c>
      <c r="FO109" s="181">
        <f t="shared" si="3"/>
        <v>929.4634146341464</v>
      </c>
      <c r="FP109" s="179">
        <f t="shared" si="5"/>
        <v>132.7615218731819</v>
      </c>
      <c r="FR109" s="184"/>
      <c r="FV109" s="184">
        <v>2310</v>
      </c>
      <c r="FW109" s="2">
        <f t="shared" si="4"/>
        <v>-2310</v>
      </c>
    </row>
    <row r="110" spans="1:179" ht="12.75">
      <c r="A110" s="82">
        <v>288</v>
      </c>
      <c r="B110" s="80" t="s">
        <v>105</v>
      </c>
      <c r="C110" s="191">
        <v>6681</v>
      </c>
      <c r="D110" s="146"/>
      <c r="E110" s="150">
        <v>0.5985772357723578</v>
      </c>
      <c r="F110" s="150">
        <v>37.3</v>
      </c>
      <c r="G110" s="151">
        <v>-1618</v>
      </c>
      <c r="H110" s="152"/>
      <c r="I110" s="152"/>
      <c r="J110" s="152"/>
      <c r="K110" s="150">
        <v>39</v>
      </c>
      <c r="L110" s="151">
        <v>551</v>
      </c>
      <c r="M110" s="151">
        <v>30</v>
      </c>
      <c r="N110" s="154">
        <v>7297.260889088459</v>
      </c>
      <c r="O110" s="146">
        <v>10396</v>
      </c>
      <c r="P110" s="139">
        <v>6173</v>
      </c>
      <c r="Q110" s="139">
        <v>40493</v>
      </c>
      <c r="R110" s="139">
        <v>-34320</v>
      </c>
      <c r="S110" s="146">
        <v>18562</v>
      </c>
      <c r="T110" s="139">
        <v>16589</v>
      </c>
      <c r="U110" s="160"/>
      <c r="W110" s="138">
        <v>-214</v>
      </c>
      <c r="X110" s="138">
        <v>121</v>
      </c>
      <c r="Y110" s="139">
        <v>738</v>
      </c>
      <c r="Z110" s="138">
        <v>1206</v>
      </c>
      <c r="AB110" s="138">
        <v>5</v>
      </c>
      <c r="AC110" s="139">
        <v>-473</v>
      </c>
      <c r="AG110" s="139">
        <v>-473</v>
      </c>
      <c r="AH110" s="139">
        <v>4537</v>
      </c>
      <c r="AI110" s="139">
        <v>716</v>
      </c>
      <c r="AJ110" s="176"/>
      <c r="AK110" s="138">
        <v>207</v>
      </c>
      <c r="AL110" s="151">
        <v>-1528</v>
      </c>
      <c r="AM110" s="151">
        <v>-1720</v>
      </c>
      <c r="AN110" s="146">
        <v>18562</v>
      </c>
      <c r="AO110" s="139">
        <v>15881</v>
      </c>
      <c r="AP110" s="139">
        <v>1634</v>
      </c>
      <c r="AQ110" s="139">
        <v>1047</v>
      </c>
      <c r="AR110" s="114">
        <v>19.5</v>
      </c>
      <c r="AS110" s="152"/>
      <c r="AT110" s="138">
        <v>247</v>
      </c>
      <c r="AU110" s="191">
        <v>6666</v>
      </c>
      <c r="AV110" s="146"/>
      <c r="AW110" s="150">
        <v>0.3700673724735322</v>
      </c>
      <c r="AX110" s="150">
        <v>41.2</v>
      </c>
      <c r="AY110" s="151">
        <v>-2042</v>
      </c>
      <c r="AZ110" s="152"/>
      <c r="BA110" s="152"/>
      <c r="BB110" s="152"/>
      <c r="BC110" s="150">
        <v>34</v>
      </c>
      <c r="BD110" s="151">
        <v>485</v>
      </c>
      <c r="BE110" s="151">
        <v>25</v>
      </c>
      <c r="BF110" s="154">
        <v>7176.117611761177</v>
      </c>
      <c r="BG110" s="146">
        <v>10838</v>
      </c>
      <c r="BH110" s="139">
        <v>6183</v>
      </c>
      <c r="BI110" s="139">
        <v>42348</v>
      </c>
      <c r="BJ110" s="139">
        <v>-36165</v>
      </c>
      <c r="BK110" s="146">
        <v>18971</v>
      </c>
      <c r="BL110" s="146">
        <v>17645</v>
      </c>
      <c r="BM110" s="160"/>
      <c r="BO110" s="138">
        <v>-264</v>
      </c>
      <c r="BP110" s="138">
        <v>297</v>
      </c>
      <c r="BQ110" s="139">
        <v>484</v>
      </c>
      <c r="BR110" s="138">
        <v>1256</v>
      </c>
      <c r="BT110" s="138">
        <v>3</v>
      </c>
      <c r="BU110" s="139">
        <v>-775</v>
      </c>
      <c r="BY110" s="138">
        <v>-775</v>
      </c>
      <c r="BZ110" s="139">
        <v>3763</v>
      </c>
      <c r="CA110" s="139">
        <v>410</v>
      </c>
      <c r="CB110" s="176"/>
      <c r="CC110" s="138">
        <v>139</v>
      </c>
      <c r="CD110" s="151">
        <v>-1793</v>
      </c>
      <c r="CE110" s="151">
        <v>-2838</v>
      </c>
      <c r="CF110" s="138">
        <v>18971</v>
      </c>
      <c r="CG110" s="139">
        <v>16660</v>
      </c>
      <c r="CH110" s="139">
        <v>1242</v>
      </c>
      <c r="CI110" s="139">
        <v>1069</v>
      </c>
      <c r="CJ110" s="114">
        <v>19.5</v>
      </c>
      <c r="CK110" s="152"/>
      <c r="CL110" s="138">
        <v>208</v>
      </c>
      <c r="CM110" s="190">
        <v>6682</v>
      </c>
      <c r="CN110" s="146"/>
      <c r="CO110" s="150">
        <v>0.048208191126279866</v>
      </c>
      <c r="CP110" s="150">
        <v>47.11605910438305</v>
      </c>
      <c r="CQ110" s="151">
        <v>-2581.113439090093</v>
      </c>
      <c r="CR110" s="152"/>
      <c r="CS110" s="152"/>
      <c r="CT110" s="152"/>
      <c r="CU110" s="150">
        <v>26.235069616227296</v>
      </c>
      <c r="CV110" s="151">
        <v>253.3672553127806</v>
      </c>
      <c r="CW110" s="151">
        <v>12.360630488268358</v>
      </c>
      <c r="CX110" s="154">
        <v>7481.741993415145</v>
      </c>
      <c r="CY110" s="146">
        <v>11145</v>
      </c>
      <c r="CZ110" s="139">
        <v>6713</v>
      </c>
      <c r="DA110" s="139">
        <v>44206</v>
      </c>
      <c r="DB110" s="139">
        <v>-37493</v>
      </c>
      <c r="DC110" s="146">
        <v>20108</v>
      </c>
      <c r="DD110" s="146">
        <v>17375</v>
      </c>
      <c r="DE110" s="160"/>
      <c r="DG110" s="138">
        <v>-318</v>
      </c>
      <c r="DH110" s="138">
        <v>112</v>
      </c>
      <c r="DI110" s="139">
        <v>-216</v>
      </c>
      <c r="DJ110" s="138">
        <v>1468</v>
      </c>
      <c r="DL110" s="138">
        <v>3</v>
      </c>
      <c r="DM110" s="139">
        <v>-1687</v>
      </c>
      <c r="DQ110" s="138">
        <v>-1687</v>
      </c>
      <c r="DR110" s="139">
        <v>2075</v>
      </c>
      <c r="DS110" s="139">
        <v>-279</v>
      </c>
      <c r="DT110" s="176"/>
      <c r="DU110" s="138">
        <v>-1072</v>
      </c>
      <c r="DV110" s="151">
        <v>-2015</v>
      </c>
      <c r="DW110" s="138">
        <v>-3629</v>
      </c>
      <c r="DX110" s="138">
        <v>20108</v>
      </c>
      <c r="DY110" s="146">
        <v>17409</v>
      </c>
      <c r="DZ110" s="196">
        <v>1578</v>
      </c>
      <c r="EA110" s="146">
        <v>1121</v>
      </c>
      <c r="EB110" s="114">
        <v>19.5</v>
      </c>
      <c r="EC110" s="152"/>
      <c r="ED110" s="138">
        <v>284</v>
      </c>
      <c r="EE110" s="138">
        <v>25249</v>
      </c>
      <c r="EF110" s="138">
        <v>26420</v>
      </c>
      <c r="EG110" s="138">
        <v>27911</v>
      </c>
      <c r="EH110" s="138"/>
      <c r="EI110" s="138"/>
      <c r="EJ110" s="138"/>
      <c r="EK110" s="3">
        <v>-2583</v>
      </c>
      <c r="EL110" s="138">
        <v>103</v>
      </c>
      <c r="EM110" s="138">
        <v>44</v>
      </c>
      <c r="EN110" s="3">
        <v>-3408</v>
      </c>
      <c r="EO110" s="138">
        <v>38</v>
      </c>
      <c r="EP110" s="138">
        <v>122</v>
      </c>
      <c r="EQ110" s="3">
        <v>-3437</v>
      </c>
      <c r="ES110" s="138">
        <v>87</v>
      </c>
      <c r="ET110" s="163">
        <v>2500</v>
      </c>
      <c r="EU110" s="163"/>
      <c r="EV110" s="138">
        <v>4000</v>
      </c>
      <c r="EW110" s="138"/>
      <c r="EX110" s="138">
        <v>4000</v>
      </c>
      <c r="EY110" s="138"/>
      <c r="EZ110" s="138">
        <v>9294</v>
      </c>
      <c r="FA110" s="138">
        <v>7625</v>
      </c>
      <c r="FB110" s="138">
        <v>1669</v>
      </c>
      <c r="FC110" s="138">
        <v>60</v>
      </c>
      <c r="FD110" s="138">
        <v>11500</v>
      </c>
      <c r="FE110" s="138">
        <v>9685</v>
      </c>
      <c r="FF110" s="138">
        <v>1815</v>
      </c>
      <c r="FG110" s="138">
        <v>0</v>
      </c>
      <c r="FH110" s="138">
        <v>13484</v>
      </c>
      <c r="FI110" s="138">
        <v>11474</v>
      </c>
      <c r="FJ110" s="138">
        <v>2010</v>
      </c>
      <c r="FK110" s="138">
        <v>0</v>
      </c>
      <c r="FL110" s="147">
        <v>1939</v>
      </c>
      <c r="FM110" s="147">
        <v>2327.332733273327</v>
      </c>
      <c r="FO110" s="181">
        <f t="shared" si="3"/>
        <v>892.7692307692307</v>
      </c>
      <c r="FP110" s="179">
        <f t="shared" si="5"/>
        <v>133.60808601754425</v>
      </c>
      <c r="FR110" s="184"/>
      <c r="FV110" s="184">
        <v>1528</v>
      </c>
      <c r="FW110" s="2">
        <f t="shared" si="4"/>
        <v>-1528</v>
      </c>
    </row>
    <row r="111" spans="1:179" ht="12.75">
      <c r="A111" s="82">
        <v>290</v>
      </c>
      <c r="B111" s="80" t="s">
        <v>106</v>
      </c>
      <c r="C111" s="191">
        <v>9334</v>
      </c>
      <c r="D111" s="146"/>
      <c r="E111" s="150">
        <v>0.19222720478325858</v>
      </c>
      <c r="F111" s="150">
        <v>29.5</v>
      </c>
      <c r="G111" s="151">
        <v>-114</v>
      </c>
      <c r="H111" s="152"/>
      <c r="I111" s="152"/>
      <c r="J111" s="152"/>
      <c r="K111" s="150">
        <v>64.1</v>
      </c>
      <c r="L111" s="151">
        <v>1515</v>
      </c>
      <c r="M111" s="151">
        <v>76</v>
      </c>
      <c r="N111" s="154">
        <v>7094.600385686736</v>
      </c>
      <c r="O111" s="146">
        <v>16231</v>
      </c>
      <c r="P111" s="139">
        <v>9077</v>
      </c>
      <c r="Q111" s="139">
        <v>61525</v>
      </c>
      <c r="R111" s="139">
        <v>-52448</v>
      </c>
      <c r="S111" s="146">
        <v>26138</v>
      </c>
      <c r="T111" s="139">
        <v>26543</v>
      </c>
      <c r="U111" s="160"/>
      <c r="W111" s="138">
        <v>-227</v>
      </c>
      <c r="X111" s="138">
        <v>403</v>
      </c>
      <c r="Y111" s="139">
        <v>409</v>
      </c>
      <c r="Z111" s="138">
        <v>2315</v>
      </c>
      <c r="AC111" s="139">
        <v>-1906</v>
      </c>
      <c r="AD111" s="139">
        <v>31</v>
      </c>
      <c r="AE111" s="139"/>
      <c r="AG111" s="139">
        <v>-1875</v>
      </c>
      <c r="AH111" s="139">
        <v>-1449</v>
      </c>
      <c r="AI111" s="139">
        <v>1632</v>
      </c>
      <c r="AJ111" s="176"/>
      <c r="AK111" s="139">
        <v>-615</v>
      </c>
      <c r="AL111" s="151">
        <v>-3111</v>
      </c>
      <c r="AM111" s="151">
        <v>67</v>
      </c>
      <c r="AN111" s="146">
        <v>26138</v>
      </c>
      <c r="AO111" s="139">
        <v>21470</v>
      </c>
      <c r="AP111" s="139">
        <v>3234</v>
      </c>
      <c r="AQ111" s="139">
        <v>1434</v>
      </c>
      <c r="AR111" s="114">
        <v>20.25</v>
      </c>
      <c r="AS111" s="152"/>
      <c r="AT111" s="138">
        <v>268</v>
      </c>
      <c r="AU111" s="191">
        <v>9240</v>
      </c>
      <c r="AV111" s="146"/>
      <c r="AW111" s="150">
        <v>-0.04886769964243146</v>
      </c>
      <c r="AX111" s="150">
        <v>34.9</v>
      </c>
      <c r="AY111" s="151">
        <v>-583</v>
      </c>
      <c r="AZ111" s="152"/>
      <c r="BA111" s="152"/>
      <c r="BB111" s="152"/>
      <c r="BC111" s="150">
        <v>58.8</v>
      </c>
      <c r="BD111" s="151">
        <v>1601</v>
      </c>
      <c r="BE111" s="151">
        <v>75</v>
      </c>
      <c r="BF111" s="154">
        <v>7745.779220779221</v>
      </c>
      <c r="BG111" s="146">
        <v>16468</v>
      </c>
      <c r="BH111" s="139">
        <v>9419</v>
      </c>
      <c r="BI111" s="139">
        <v>64604</v>
      </c>
      <c r="BJ111" s="139">
        <v>-55185</v>
      </c>
      <c r="BK111" s="146">
        <v>25148</v>
      </c>
      <c r="BL111" s="146">
        <v>29129</v>
      </c>
      <c r="BM111" s="160"/>
      <c r="BO111" s="138">
        <v>-223</v>
      </c>
      <c r="BP111" s="138">
        <v>722</v>
      </c>
      <c r="BQ111" s="139">
        <v>-409</v>
      </c>
      <c r="BR111" s="138">
        <v>1589</v>
      </c>
      <c r="BT111" s="138">
        <v>1413</v>
      </c>
      <c r="BU111" s="139">
        <v>-3411</v>
      </c>
      <c r="BV111" s="139">
        <v>30</v>
      </c>
      <c r="BW111" s="139"/>
      <c r="BY111" s="138">
        <v>-3381</v>
      </c>
      <c r="BZ111" s="139">
        <v>-4830</v>
      </c>
      <c r="CA111" s="139">
        <v>-3063</v>
      </c>
      <c r="CB111" s="176"/>
      <c r="CC111" s="139">
        <v>1021</v>
      </c>
      <c r="CD111" s="151">
        <v>-3111</v>
      </c>
      <c r="CE111" s="151">
        <v>-5796</v>
      </c>
      <c r="CF111" s="138">
        <v>25148</v>
      </c>
      <c r="CG111" s="139">
        <v>21706</v>
      </c>
      <c r="CH111" s="139">
        <v>1987</v>
      </c>
      <c r="CI111" s="139">
        <v>1455</v>
      </c>
      <c r="CJ111" s="114">
        <v>20.25</v>
      </c>
      <c r="CK111" s="152"/>
      <c r="CL111" s="138">
        <v>265</v>
      </c>
      <c r="CM111" s="190">
        <v>9104</v>
      </c>
      <c r="CN111" s="146"/>
      <c r="CO111" s="150">
        <v>0.614822283841694</v>
      </c>
      <c r="CP111" s="150">
        <v>34.30186102596139</v>
      </c>
      <c r="CQ111" s="151">
        <v>-481.87609841827765</v>
      </c>
      <c r="CR111" s="152"/>
      <c r="CS111" s="152"/>
      <c r="CT111" s="152"/>
      <c r="CU111" s="150">
        <v>58.43264338978326</v>
      </c>
      <c r="CV111" s="151">
        <v>1898.7258347978911</v>
      </c>
      <c r="CW111" s="151">
        <v>83.33077989830285</v>
      </c>
      <c r="CX111" s="154">
        <v>8316.673989455185</v>
      </c>
      <c r="CY111" s="146">
        <v>17530</v>
      </c>
      <c r="CZ111" s="139">
        <v>9398</v>
      </c>
      <c r="DA111" s="139">
        <v>67248</v>
      </c>
      <c r="DB111" s="139">
        <v>-57850</v>
      </c>
      <c r="DC111" s="146">
        <v>27411</v>
      </c>
      <c r="DD111" s="146">
        <v>32024</v>
      </c>
      <c r="DE111" s="160"/>
      <c r="DG111" s="138">
        <v>-169</v>
      </c>
      <c r="DH111" s="138">
        <v>788</v>
      </c>
      <c r="DI111" s="139">
        <v>2204</v>
      </c>
      <c r="DJ111" s="138">
        <v>1840</v>
      </c>
      <c r="DK111" s="138">
        <v>1206</v>
      </c>
      <c r="DM111" s="139">
        <v>1570</v>
      </c>
      <c r="DN111" s="139">
        <v>42</v>
      </c>
      <c r="DO111" s="139"/>
      <c r="DQ111" s="138">
        <v>1612</v>
      </c>
      <c r="DR111" s="139">
        <v>-3218</v>
      </c>
      <c r="DS111" s="139">
        <v>3342</v>
      </c>
      <c r="DT111" s="176"/>
      <c r="DU111" s="139">
        <v>79</v>
      </c>
      <c r="DV111" s="151">
        <v>-3732</v>
      </c>
      <c r="DW111" s="138">
        <v>901</v>
      </c>
      <c r="DX111" s="138">
        <v>27411</v>
      </c>
      <c r="DY111" s="146">
        <v>23558</v>
      </c>
      <c r="DZ111" s="196">
        <v>2348</v>
      </c>
      <c r="EA111" s="146">
        <v>1505</v>
      </c>
      <c r="EB111" s="114">
        <v>21</v>
      </c>
      <c r="EC111" s="152"/>
      <c r="ED111" s="138">
        <v>174</v>
      </c>
      <c r="EE111" s="138">
        <v>37807</v>
      </c>
      <c r="EF111" s="138">
        <v>40039</v>
      </c>
      <c r="EG111" s="138">
        <v>41796</v>
      </c>
      <c r="EH111" s="138"/>
      <c r="EI111" s="138"/>
      <c r="EJ111" s="138"/>
      <c r="EK111" s="3">
        <v>-2311</v>
      </c>
      <c r="EL111" s="138">
        <v>664</v>
      </c>
      <c r="EM111" s="138">
        <v>82</v>
      </c>
      <c r="EN111" s="3">
        <v>-3492</v>
      </c>
      <c r="EO111" s="138">
        <v>734</v>
      </c>
      <c r="EP111" s="138">
        <v>25</v>
      </c>
      <c r="EQ111" s="3">
        <v>-4413</v>
      </c>
      <c r="ER111" s="138">
        <v>136</v>
      </c>
      <c r="ES111" s="138">
        <v>1836</v>
      </c>
      <c r="ET111" s="163">
        <v>3408</v>
      </c>
      <c r="EU111" s="163">
        <v>-42</v>
      </c>
      <c r="EV111" s="138">
        <v>4557</v>
      </c>
      <c r="EW111" s="138"/>
      <c r="EX111" s="138">
        <v>7093</v>
      </c>
      <c r="EY111" s="138"/>
      <c r="EZ111" s="138">
        <v>13468</v>
      </c>
      <c r="FA111" s="138">
        <v>10357</v>
      </c>
      <c r="FB111" s="138">
        <v>3111</v>
      </c>
      <c r="FC111" s="138">
        <v>1811</v>
      </c>
      <c r="FD111" s="138">
        <v>14913</v>
      </c>
      <c r="FE111" s="138">
        <v>11456</v>
      </c>
      <c r="FF111" s="138">
        <v>3457</v>
      </c>
      <c r="FG111" s="138">
        <v>335</v>
      </c>
      <c r="FH111" s="138">
        <v>18274</v>
      </c>
      <c r="FI111" s="138">
        <v>14215</v>
      </c>
      <c r="FJ111" s="138">
        <v>4059</v>
      </c>
      <c r="FK111" s="138">
        <v>276</v>
      </c>
      <c r="FL111" s="147">
        <v>2845</v>
      </c>
      <c r="FM111" s="147">
        <v>2992.8571428571427</v>
      </c>
      <c r="FO111" s="181">
        <f t="shared" si="3"/>
        <v>1121.8095238095239</v>
      </c>
      <c r="FP111" s="179">
        <f t="shared" si="5"/>
        <v>123.22160850280359</v>
      </c>
      <c r="FR111" s="184"/>
      <c r="FV111" s="184">
        <v>3111</v>
      </c>
      <c r="FW111" s="2">
        <f t="shared" si="4"/>
        <v>-3111</v>
      </c>
    </row>
    <row r="112" spans="1:179" ht="12.75">
      <c r="A112" s="82">
        <v>291</v>
      </c>
      <c r="B112" s="80" t="s">
        <v>107</v>
      </c>
      <c r="C112" s="191">
        <v>2505</v>
      </c>
      <c r="D112" s="146"/>
      <c r="E112" s="150">
        <v>1.7316602316602316</v>
      </c>
      <c r="F112" s="150">
        <v>18.6</v>
      </c>
      <c r="G112" s="151">
        <v>61</v>
      </c>
      <c r="H112" s="152"/>
      <c r="I112" s="152"/>
      <c r="J112" s="152"/>
      <c r="K112" s="150">
        <v>81.4</v>
      </c>
      <c r="L112" s="151">
        <v>1113</v>
      </c>
      <c r="M112" s="151">
        <v>57</v>
      </c>
      <c r="N112" s="154">
        <v>8669.860279441118</v>
      </c>
      <c r="O112" s="146">
        <v>4345</v>
      </c>
      <c r="P112" s="139">
        <v>2150</v>
      </c>
      <c r="Q112" s="139">
        <v>16243</v>
      </c>
      <c r="R112" s="139">
        <v>-14093</v>
      </c>
      <c r="S112" s="146">
        <v>7413</v>
      </c>
      <c r="T112" s="139">
        <v>8119</v>
      </c>
      <c r="U112" s="160"/>
      <c r="W112" s="138">
        <v>23</v>
      </c>
      <c r="X112" s="138">
        <v>76</v>
      </c>
      <c r="Y112" s="139">
        <v>1538</v>
      </c>
      <c r="Z112" s="138">
        <v>793</v>
      </c>
      <c r="AA112" s="139"/>
      <c r="AC112" s="139">
        <v>745</v>
      </c>
      <c r="AD112" s="139">
        <v>11</v>
      </c>
      <c r="AG112" s="139">
        <v>756</v>
      </c>
      <c r="AH112" s="139">
        <v>3225</v>
      </c>
      <c r="AI112" s="139">
        <v>1546</v>
      </c>
      <c r="AJ112" s="176"/>
      <c r="AK112" s="139">
        <v>-140</v>
      </c>
      <c r="AL112" s="151">
        <v>-780</v>
      </c>
      <c r="AM112" s="151">
        <v>855</v>
      </c>
      <c r="AN112" s="146">
        <v>7413</v>
      </c>
      <c r="AO112" s="139">
        <v>5453</v>
      </c>
      <c r="AP112" s="139">
        <v>854</v>
      </c>
      <c r="AQ112" s="139">
        <v>1106</v>
      </c>
      <c r="AR112" s="114">
        <v>19.75</v>
      </c>
      <c r="AS112" s="152"/>
      <c r="AT112" s="138">
        <v>22</v>
      </c>
      <c r="AU112" s="191">
        <v>2438</v>
      </c>
      <c r="AV112" s="146"/>
      <c r="AW112" s="150">
        <v>2.1218274111675126</v>
      </c>
      <c r="AX112" s="150">
        <v>15.2</v>
      </c>
      <c r="AY112" s="151">
        <v>303</v>
      </c>
      <c r="AZ112" s="152"/>
      <c r="BA112" s="152"/>
      <c r="BB112" s="152"/>
      <c r="BC112" s="150">
        <v>83.7</v>
      </c>
      <c r="BD112" s="151">
        <v>1262</v>
      </c>
      <c r="BE112" s="151">
        <v>60</v>
      </c>
      <c r="BF112" s="154">
        <v>7668.1706316653</v>
      </c>
      <c r="BG112" s="146">
        <v>4518</v>
      </c>
      <c r="BH112" s="139">
        <v>2373</v>
      </c>
      <c r="BI112" s="139">
        <v>17351</v>
      </c>
      <c r="BJ112" s="139">
        <v>-14978</v>
      </c>
      <c r="BK112" s="146">
        <v>7390</v>
      </c>
      <c r="BL112" s="146">
        <v>8740</v>
      </c>
      <c r="BM112" s="160"/>
      <c r="BO112" s="138">
        <v>36</v>
      </c>
      <c r="BP112" s="138">
        <v>40</v>
      </c>
      <c r="BQ112" s="139">
        <v>1228</v>
      </c>
      <c r="BR112" s="138">
        <v>831</v>
      </c>
      <c r="BS112" s="139"/>
      <c r="BU112" s="139">
        <v>397</v>
      </c>
      <c r="BV112" s="139">
        <v>12</v>
      </c>
      <c r="BY112" s="138">
        <v>409</v>
      </c>
      <c r="BZ112" s="139">
        <v>3634</v>
      </c>
      <c r="CA112" s="139">
        <v>1173</v>
      </c>
      <c r="CB112" s="176"/>
      <c r="CC112" s="139">
        <v>191</v>
      </c>
      <c r="CD112" s="151">
        <v>-565</v>
      </c>
      <c r="CE112" s="151">
        <v>583</v>
      </c>
      <c r="CF112" s="138">
        <v>7390</v>
      </c>
      <c r="CG112" s="139">
        <v>5723</v>
      </c>
      <c r="CH112" s="139">
        <v>531</v>
      </c>
      <c r="CI112" s="139">
        <v>1136</v>
      </c>
      <c r="CJ112" s="114">
        <v>19.75</v>
      </c>
      <c r="CK112" s="152"/>
      <c r="CL112" s="138">
        <v>18</v>
      </c>
      <c r="CM112" s="190">
        <v>2409</v>
      </c>
      <c r="CN112" s="146"/>
      <c r="CO112" s="150">
        <v>1.9326315789473685</v>
      </c>
      <c r="CP112" s="150">
        <v>23.021885521885523</v>
      </c>
      <c r="CQ112" s="151">
        <v>-244.91490244914903</v>
      </c>
      <c r="CR112" s="152"/>
      <c r="CS112" s="152"/>
      <c r="CT112" s="152"/>
      <c r="CU112" s="150">
        <v>76.86383982288108</v>
      </c>
      <c r="CV112" s="151">
        <v>1293.897882938979</v>
      </c>
      <c r="CW112" s="151">
        <v>53.47865939644636</v>
      </c>
      <c r="CX112" s="154">
        <v>8831.050228310502</v>
      </c>
      <c r="CY112" s="146">
        <v>4714</v>
      </c>
      <c r="CZ112" s="139">
        <v>2485</v>
      </c>
      <c r="DA112" s="139">
        <v>18222</v>
      </c>
      <c r="DB112" s="139">
        <v>-15737</v>
      </c>
      <c r="DC112" s="146">
        <v>7542</v>
      </c>
      <c r="DD112" s="146">
        <v>8981</v>
      </c>
      <c r="DE112" s="160"/>
      <c r="DG112" s="138">
        <v>43</v>
      </c>
      <c r="DH112" s="138">
        <v>75</v>
      </c>
      <c r="DI112" s="139">
        <v>904</v>
      </c>
      <c r="DJ112" s="138">
        <v>1321</v>
      </c>
      <c r="DK112" s="139"/>
      <c r="DM112" s="139">
        <v>-417</v>
      </c>
      <c r="DN112" s="139">
        <v>12</v>
      </c>
      <c r="DQ112" s="138">
        <v>-405</v>
      </c>
      <c r="DR112" s="139">
        <v>3229</v>
      </c>
      <c r="DS112" s="139">
        <v>866</v>
      </c>
      <c r="DT112" s="176"/>
      <c r="DU112" s="139">
        <v>-199</v>
      </c>
      <c r="DV112" s="151">
        <v>-461</v>
      </c>
      <c r="DW112" s="138">
        <v>-1347</v>
      </c>
      <c r="DX112" s="138">
        <v>7542</v>
      </c>
      <c r="DY112" s="146">
        <v>5692</v>
      </c>
      <c r="DZ112" s="196">
        <v>658</v>
      </c>
      <c r="EA112" s="146">
        <v>1192</v>
      </c>
      <c r="EB112" s="114">
        <v>19.75</v>
      </c>
      <c r="EC112" s="152"/>
      <c r="ED112" s="138">
        <v>97</v>
      </c>
      <c r="EE112" s="138">
        <v>10330</v>
      </c>
      <c r="EF112" s="138">
        <v>11245</v>
      </c>
      <c r="EG112" s="138">
        <v>11722</v>
      </c>
      <c r="EH112" s="138"/>
      <c r="EI112" s="138"/>
      <c r="EJ112" s="138"/>
      <c r="EK112" s="3">
        <v>-705</v>
      </c>
      <c r="EL112" s="138"/>
      <c r="EM112" s="138">
        <v>14</v>
      </c>
      <c r="EN112" s="3">
        <v>-715</v>
      </c>
      <c r="EO112" s="138">
        <v>16</v>
      </c>
      <c r="EP112" s="138">
        <v>109</v>
      </c>
      <c r="EQ112" s="3">
        <v>-2550</v>
      </c>
      <c r="ER112" s="138">
        <v>32</v>
      </c>
      <c r="ES112" s="138">
        <v>305</v>
      </c>
      <c r="ET112" s="163"/>
      <c r="EU112" s="163"/>
      <c r="EV112" s="138"/>
      <c r="EW112" s="138"/>
      <c r="EX112" s="138">
        <v>700</v>
      </c>
      <c r="EY112" s="138">
        <v>1500</v>
      </c>
      <c r="EZ112" s="138">
        <v>1586</v>
      </c>
      <c r="FA112" s="138">
        <v>1021</v>
      </c>
      <c r="FB112" s="138">
        <v>565</v>
      </c>
      <c r="FC112" s="138">
        <v>383</v>
      </c>
      <c r="FD112" s="138">
        <v>1021</v>
      </c>
      <c r="FE112" s="138">
        <v>560</v>
      </c>
      <c r="FF112" s="138">
        <v>461</v>
      </c>
      <c r="FG112" s="138">
        <v>383</v>
      </c>
      <c r="FH112" s="138">
        <v>2761</v>
      </c>
      <c r="FI112" s="138">
        <v>917</v>
      </c>
      <c r="FJ112" s="138">
        <v>1844</v>
      </c>
      <c r="FK112" s="138">
        <v>359</v>
      </c>
      <c r="FL112" s="147">
        <v>2101</v>
      </c>
      <c r="FM112" s="147">
        <v>1858.0803937653814</v>
      </c>
      <c r="FO112" s="181">
        <f t="shared" si="3"/>
        <v>288.2025316455696</v>
      </c>
      <c r="FP112" s="179">
        <f t="shared" si="5"/>
        <v>119.63575410774993</v>
      </c>
      <c r="FR112" s="184"/>
      <c r="FV112" s="184">
        <v>780</v>
      </c>
      <c r="FW112" s="2">
        <f t="shared" si="4"/>
        <v>-780</v>
      </c>
    </row>
    <row r="113" spans="1:179" ht="12.75">
      <c r="A113" s="82">
        <v>297</v>
      </c>
      <c r="B113" s="80" t="s">
        <v>108</v>
      </c>
      <c r="C113" s="191">
        <v>97433</v>
      </c>
      <c r="D113" s="146"/>
      <c r="E113" s="150">
        <v>3.2079397988174767</v>
      </c>
      <c r="F113" s="150">
        <v>43.9</v>
      </c>
      <c r="G113" s="151">
        <v>-2057</v>
      </c>
      <c r="H113" s="152"/>
      <c r="I113" s="152"/>
      <c r="J113" s="152"/>
      <c r="K113" s="150">
        <v>59</v>
      </c>
      <c r="L113" s="151">
        <v>461</v>
      </c>
      <c r="M113" s="151">
        <v>23</v>
      </c>
      <c r="N113" s="154">
        <v>6353.914997998625</v>
      </c>
      <c r="O113" s="146">
        <v>265914</v>
      </c>
      <c r="P113" s="139">
        <v>198024</v>
      </c>
      <c r="Q113" s="139">
        <v>613096</v>
      </c>
      <c r="R113" s="139">
        <v>-415072</v>
      </c>
      <c r="S113" s="146">
        <v>324878</v>
      </c>
      <c r="T113" s="139">
        <v>129654</v>
      </c>
      <c r="U113" s="160"/>
      <c r="W113" s="138">
        <v>-213</v>
      </c>
      <c r="X113" s="138">
        <v>2497</v>
      </c>
      <c r="Y113" s="139">
        <v>41744</v>
      </c>
      <c r="Z113" s="138">
        <v>39338</v>
      </c>
      <c r="AA113" s="138">
        <v>806</v>
      </c>
      <c r="AB113" s="139"/>
      <c r="AC113" s="139">
        <v>3212</v>
      </c>
      <c r="AD113" s="139">
        <v>252</v>
      </c>
      <c r="AE113" s="138">
        <v>121</v>
      </c>
      <c r="AF113" s="138">
        <v>1500</v>
      </c>
      <c r="AG113" s="139">
        <v>5085</v>
      </c>
      <c r="AH113" s="139">
        <v>22498</v>
      </c>
      <c r="AI113" s="139">
        <v>32302</v>
      </c>
      <c r="AJ113" s="176"/>
      <c r="AK113" s="139">
        <v>4003</v>
      </c>
      <c r="AL113" s="151">
        <v>-12990</v>
      </c>
      <c r="AM113" s="151">
        <v>-683</v>
      </c>
      <c r="AN113" s="146">
        <v>324878</v>
      </c>
      <c r="AO113" s="139">
        <v>286337</v>
      </c>
      <c r="AP113" s="139">
        <v>18392</v>
      </c>
      <c r="AQ113" s="139">
        <v>20149</v>
      </c>
      <c r="AR113" s="114">
        <v>19.5</v>
      </c>
      <c r="AS113" s="152"/>
      <c r="AT113" s="138">
        <v>65</v>
      </c>
      <c r="AU113" s="191">
        <v>98649</v>
      </c>
      <c r="AV113" s="146"/>
      <c r="AW113" s="150">
        <v>0.6988029491743993</v>
      </c>
      <c r="AX113" s="150">
        <v>46.6</v>
      </c>
      <c r="AY113" s="151">
        <v>-2584</v>
      </c>
      <c r="AZ113" s="152"/>
      <c r="BA113" s="152"/>
      <c r="BB113" s="152"/>
      <c r="BC113" s="150">
        <v>55.6</v>
      </c>
      <c r="BD113" s="151">
        <v>111</v>
      </c>
      <c r="BE113" s="151">
        <v>5</v>
      </c>
      <c r="BF113" s="154">
        <v>7801.1130371316485</v>
      </c>
      <c r="BG113" s="146">
        <v>262789</v>
      </c>
      <c r="BH113" s="139">
        <v>205704</v>
      </c>
      <c r="BI113" s="139">
        <v>654848</v>
      </c>
      <c r="BJ113" s="139">
        <v>-449144</v>
      </c>
      <c r="BK113" s="146">
        <v>331530</v>
      </c>
      <c r="BL113" s="146">
        <v>136147</v>
      </c>
      <c r="BM113" s="160"/>
      <c r="BO113" s="138">
        <v>-298</v>
      </c>
      <c r="BP113" s="138">
        <v>2257</v>
      </c>
      <c r="BQ113" s="139">
        <v>20492</v>
      </c>
      <c r="BR113" s="138">
        <v>40817</v>
      </c>
      <c r="BS113" s="138">
        <v>1568</v>
      </c>
      <c r="BT113" s="139">
        <v>250</v>
      </c>
      <c r="BU113" s="139">
        <v>-19007</v>
      </c>
      <c r="BV113" s="139">
        <v>439</v>
      </c>
      <c r="BX113" s="138">
        <v>12089</v>
      </c>
      <c r="BY113" s="138">
        <v>-6479</v>
      </c>
      <c r="BZ113" s="139">
        <v>11733</v>
      </c>
      <c r="CA113" s="139">
        <v>19700</v>
      </c>
      <c r="CB113" s="176"/>
      <c r="CC113" s="139">
        <v>-6651</v>
      </c>
      <c r="CD113" s="151">
        <v>-31236</v>
      </c>
      <c r="CE113" s="151">
        <v>-51554</v>
      </c>
      <c r="CF113" s="138">
        <v>331530</v>
      </c>
      <c r="CG113" s="139">
        <v>295315</v>
      </c>
      <c r="CH113" s="139">
        <v>14781</v>
      </c>
      <c r="CI113" s="139">
        <v>21434</v>
      </c>
      <c r="CJ113" s="114">
        <v>19.5</v>
      </c>
      <c r="CK113" s="152"/>
      <c r="CL113" s="138">
        <v>109</v>
      </c>
      <c r="CM113" s="190">
        <v>106342</v>
      </c>
      <c r="CN113" s="146"/>
      <c r="CO113" s="150">
        <v>1.4604585220789101</v>
      </c>
      <c r="CP113" s="150">
        <v>50.885787682755144</v>
      </c>
      <c r="CQ113" s="151">
        <v>-2655.4700870775423</v>
      </c>
      <c r="CR113" s="152"/>
      <c r="CS113" s="152"/>
      <c r="CT113" s="152"/>
      <c r="CU113" s="150">
        <v>51.610962799461106</v>
      </c>
      <c r="CV113" s="151">
        <v>496.80276842639785</v>
      </c>
      <c r="CW113" s="151">
        <v>23.326778844990685</v>
      </c>
      <c r="CX113" s="154">
        <v>7773.598390099867</v>
      </c>
      <c r="CY113" s="146">
        <v>284135</v>
      </c>
      <c r="CZ113" s="139">
        <v>236429</v>
      </c>
      <c r="DA113" s="139">
        <v>738587</v>
      </c>
      <c r="DB113" s="139">
        <v>-502158</v>
      </c>
      <c r="DC113" s="146">
        <v>384482</v>
      </c>
      <c r="DD113" s="146">
        <v>153132</v>
      </c>
      <c r="DE113" s="160"/>
      <c r="DG113" s="138">
        <v>-776</v>
      </c>
      <c r="DH113" s="138">
        <v>3079</v>
      </c>
      <c r="DI113" s="139">
        <v>37759</v>
      </c>
      <c r="DJ113" s="138">
        <v>44706</v>
      </c>
      <c r="DK113" s="138">
        <v>7585</v>
      </c>
      <c r="DL113" s="139"/>
      <c r="DM113" s="139">
        <v>638</v>
      </c>
      <c r="DN113" s="139">
        <v>351</v>
      </c>
      <c r="DQ113" s="138">
        <v>989</v>
      </c>
      <c r="DR113" s="139">
        <v>7794</v>
      </c>
      <c r="DS113" s="139">
        <v>37089</v>
      </c>
      <c r="DT113" s="176"/>
      <c r="DU113" s="139">
        <v>865</v>
      </c>
      <c r="DV113" s="151">
        <v>-24443</v>
      </c>
      <c r="DW113" s="138">
        <v>-22915</v>
      </c>
      <c r="DX113" s="138">
        <v>384482</v>
      </c>
      <c r="DY113" s="146">
        <v>335325</v>
      </c>
      <c r="DZ113" s="196">
        <v>17079</v>
      </c>
      <c r="EA113" s="146">
        <v>32078</v>
      </c>
      <c r="EB113" s="114">
        <v>19.5</v>
      </c>
      <c r="EC113" s="152"/>
      <c r="ED113" s="138">
        <v>110</v>
      </c>
      <c r="EE113" s="138">
        <v>232436</v>
      </c>
      <c r="EF113" s="138">
        <v>268296</v>
      </c>
      <c r="EG113" s="138">
        <v>315426</v>
      </c>
      <c r="EH113" s="138"/>
      <c r="EI113" s="138"/>
      <c r="EJ113" s="138"/>
      <c r="EK113" s="3">
        <v>-52240</v>
      </c>
      <c r="EL113" s="138">
        <v>2529</v>
      </c>
      <c r="EM113" s="138">
        <v>16726</v>
      </c>
      <c r="EN113" s="3">
        <v>-77385</v>
      </c>
      <c r="EO113" s="138">
        <v>2026</v>
      </c>
      <c r="EP113" s="138">
        <v>4105</v>
      </c>
      <c r="EQ113" s="3">
        <v>-75205</v>
      </c>
      <c r="ER113" s="138">
        <v>6140</v>
      </c>
      <c r="ES113" s="138">
        <v>9061</v>
      </c>
      <c r="ET113" s="163">
        <v>27500</v>
      </c>
      <c r="EU113" s="163"/>
      <c r="EV113" s="138">
        <v>46600</v>
      </c>
      <c r="EW113" s="138"/>
      <c r="EX113" s="138">
        <v>75700</v>
      </c>
      <c r="EY113" s="138">
        <v>-13800</v>
      </c>
      <c r="EZ113" s="138">
        <v>171961</v>
      </c>
      <c r="FA113" s="138">
        <v>141952</v>
      </c>
      <c r="FB113" s="138">
        <v>30009</v>
      </c>
      <c r="FC113" s="138">
        <v>69291</v>
      </c>
      <c r="FD113" s="138">
        <v>187324</v>
      </c>
      <c r="FE113" s="138">
        <v>168455</v>
      </c>
      <c r="FF113" s="138">
        <v>18869</v>
      </c>
      <c r="FG113" s="138">
        <v>69322</v>
      </c>
      <c r="FH113" s="138">
        <v>248734</v>
      </c>
      <c r="FI113" s="138">
        <v>220068</v>
      </c>
      <c r="FJ113" s="138">
        <v>28666</v>
      </c>
      <c r="FK113" s="138">
        <v>50710</v>
      </c>
      <c r="FL113" s="147">
        <v>6336</v>
      </c>
      <c r="FM113" s="147">
        <v>6694.381088505712</v>
      </c>
      <c r="FO113" s="181">
        <f t="shared" si="3"/>
        <v>17196.153846153848</v>
      </c>
      <c r="FP113" s="179">
        <f t="shared" si="5"/>
        <v>161.70613535718576</v>
      </c>
      <c r="FR113" s="184"/>
      <c r="FV113" s="184">
        <v>12990</v>
      </c>
      <c r="FW113" s="2">
        <f t="shared" si="4"/>
        <v>-12990</v>
      </c>
    </row>
    <row r="114" spans="1:179" ht="12.75">
      <c r="A114" s="82">
        <v>300</v>
      </c>
      <c r="B114" s="80" t="s">
        <v>109</v>
      </c>
      <c r="C114" s="191">
        <v>3906</v>
      </c>
      <c r="D114" s="146"/>
      <c r="F114" s="150">
        <v>14</v>
      </c>
      <c r="G114" s="151">
        <v>-87</v>
      </c>
      <c r="H114" s="152"/>
      <c r="I114" s="152"/>
      <c r="J114" s="152"/>
      <c r="K114" s="150">
        <v>83.3</v>
      </c>
      <c r="L114" s="151">
        <v>123</v>
      </c>
      <c r="M114" s="151">
        <v>7</v>
      </c>
      <c r="N114" s="154">
        <v>27156.682027649767</v>
      </c>
      <c r="O114" s="146">
        <v>9560</v>
      </c>
      <c r="P114" s="139">
        <v>4146</v>
      </c>
      <c r="Q114" s="139">
        <v>24022</v>
      </c>
      <c r="R114" s="139">
        <v>-19876</v>
      </c>
      <c r="S114" s="146">
        <v>9695</v>
      </c>
      <c r="T114" s="139">
        <v>10984</v>
      </c>
      <c r="U114" s="160"/>
      <c r="W114" s="138">
        <v>47</v>
      </c>
      <c r="X114" s="138">
        <v>46</v>
      </c>
      <c r="Y114" s="139">
        <v>896</v>
      </c>
      <c r="Z114" s="138">
        <v>739</v>
      </c>
      <c r="AA114" s="139"/>
      <c r="AB114" s="139"/>
      <c r="AC114" s="139">
        <v>157</v>
      </c>
      <c r="AD114" s="139"/>
      <c r="AE114" s="139"/>
      <c r="AG114" s="139">
        <v>157</v>
      </c>
      <c r="AH114" s="139">
        <v>3704</v>
      </c>
      <c r="AI114" s="139">
        <v>10</v>
      </c>
      <c r="AJ114" s="176"/>
      <c r="AK114" s="139">
        <v>-287</v>
      </c>
      <c r="AL114" s="151">
        <v>0</v>
      </c>
      <c r="AM114" s="151">
        <v>-1034</v>
      </c>
      <c r="AN114" s="146">
        <v>9695</v>
      </c>
      <c r="AO114" s="139">
        <v>8367</v>
      </c>
      <c r="AP114" s="139">
        <v>697</v>
      </c>
      <c r="AQ114" s="139">
        <v>631</v>
      </c>
      <c r="AR114" s="114">
        <v>19.5</v>
      </c>
      <c r="AS114" s="152"/>
      <c r="AT114" s="138">
        <v>181</v>
      </c>
      <c r="AU114" s="191">
        <v>3849</v>
      </c>
      <c r="AV114" s="146"/>
      <c r="AW114" s="150">
        <v>-40.46153846153846</v>
      </c>
      <c r="AX114" s="150">
        <v>26.4</v>
      </c>
      <c r="AY114" s="151">
        <v>-922</v>
      </c>
      <c r="AZ114" s="152"/>
      <c r="BA114" s="152"/>
      <c r="BB114" s="152"/>
      <c r="BC114" s="150">
        <v>71.4</v>
      </c>
      <c r="BD114" s="151">
        <v>118</v>
      </c>
      <c r="BE114" s="151">
        <v>6</v>
      </c>
      <c r="BF114" s="154">
        <v>7597.557807222655</v>
      </c>
      <c r="BG114" s="146">
        <v>10129</v>
      </c>
      <c r="BH114" s="139">
        <v>3435</v>
      </c>
      <c r="BI114" s="139">
        <v>25792</v>
      </c>
      <c r="BJ114" s="139">
        <v>-22357</v>
      </c>
      <c r="BK114" s="146">
        <v>10148</v>
      </c>
      <c r="BL114" s="146">
        <v>11590</v>
      </c>
      <c r="BM114" s="160"/>
      <c r="BO114" s="138">
        <v>24</v>
      </c>
      <c r="BP114" s="138">
        <v>60</v>
      </c>
      <c r="BQ114" s="139">
        <v>-535</v>
      </c>
      <c r="BR114" s="138">
        <v>742</v>
      </c>
      <c r="BS114" s="139"/>
      <c r="BT114" s="139"/>
      <c r="BU114" s="139">
        <v>-1277</v>
      </c>
      <c r="BV114" s="139"/>
      <c r="BW114" s="139"/>
      <c r="BY114" s="138">
        <v>-1277</v>
      </c>
      <c r="BZ114" s="139">
        <v>2427</v>
      </c>
      <c r="CA114" s="139">
        <v>-613</v>
      </c>
      <c r="CB114" s="176"/>
      <c r="CC114" s="139">
        <v>-3</v>
      </c>
      <c r="CD114" s="151">
        <v>-4</v>
      </c>
      <c r="CE114" s="151">
        <v>-2908</v>
      </c>
      <c r="CF114" s="138">
        <v>10148</v>
      </c>
      <c r="CG114" s="139">
        <v>9040</v>
      </c>
      <c r="CH114" s="139">
        <v>467</v>
      </c>
      <c r="CI114" s="139">
        <v>641</v>
      </c>
      <c r="CJ114" s="114">
        <v>20</v>
      </c>
      <c r="CK114" s="152"/>
      <c r="CL114" s="138">
        <v>293</v>
      </c>
      <c r="CM114" s="190">
        <v>3819</v>
      </c>
      <c r="CN114" s="146"/>
      <c r="CO114" s="150">
        <v>-18.428571428571427</v>
      </c>
      <c r="CP114" s="150">
        <v>38.05211251391074</v>
      </c>
      <c r="CQ114" s="151">
        <v>-1941.084053417125</v>
      </c>
      <c r="CR114" s="152"/>
      <c r="CS114" s="152"/>
      <c r="CT114" s="152"/>
      <c r="CU114" s="150">
        <v>60.929025259569194</v>
      </c>
      <c r="CV114" s="151">
        <v>26.446713799423932</v>
      </c>
      <c r="CW114" s="151">
        <v>1.2186776859504131</v>
      </c>
      <c r="CX114" s="154">
        <v>7920.921707253208</v>
      </c>
      <c r="CY114" s="146">
        <v>10947</v>
      </c>
      <c r="CZ114" s="139">
        <v>3610</v>
      </c>
      <c r="DA114" s="139">
        <v>26618</v>
      </c>
      <c r="DB114" s="139">
        <v>-23008</v>
      </c>
      <c r="DC114" s="146">
        <v>10519</v>
      </c>
      <c r="DD114" s="146">
        <v>11930</v>
      </c>
      <c r="DE114" s="160"/>
      <c r="DG114" s="138">
        <v>-7</v>
      </c>
      <c r="DH114" s="138">
        <v>22</v>
      </c>
      <c r="DI114" s="139">
        <v>-544</v>
      </c>
      <c r="DJ114" s="138">
        <v>895</v>
      </c>
      <c r="DK114" s="139"/>
      <c r="DL114" s="139"/>
      <c r="DM114" s="139">
        <v>-1439</v>
      </c>
      <c r="DN114" s="139"/>
      <c r="DO114" s="139"/>
      <c r="DQ114" s="138">
        <v>-1439</v>
      </c>
      <c r="DR114" s="139">
        <v>988</v>
      </c>
      <c r="DS114" s="139">
        <v>-571</v>
      </c>
      <c r="DT114" s="176"/>
      <c r="DU114" s="139">
        <v>244</v>
      </c>
      <c r="DV114" s="151">
        <v>0</v>
      </c>
      <c r="DW114" s="138">
        <v>-3896</v>
      </c>
      <c r="DX114" s="138">
        <v>10519</v>
      </c>
      <c r="DY114" s="146">
        <v>9341</v>
      </c>
      <c r="DZ114" s="196">
        <v>512</v>
      </c>
      <c r="EA114" s="146">
        <v>666</v>
      </c>
      <c r="EB114" s="114">
        <v>20</v>
      </c>
      <c r="EC114" s="152"/>
      <c r="ED114" s="138">
        <v>298</v>
      </c>
      <c r="EE114" s="138">
        <v>11760</v>
      </c>
      <c r="EF114" s="138">
        <v>12878</v>
      </c>
      <c r="EG114" s="138">
        <v>12708</v>
      </c>
      <c r="EH114" s="138"/>
      <c r="EI114" s="138"/>
      <c r="EJ114" s="138"/>
      <c r="EK114" s="3">
        <v>-2141</v>
      </c>
      <c r="EL114" s="138">
        <v>102</v>
      </c>
      <c r="EM114" s="138">
        <v>995</v>
      </c>
      <c r="EN114" s="3">
        <v>-3039</v>
      </c>
      <c r="EO114" s="138">
        <v>640</v>
      </c>
      <c r="EP114" s="138">
        <v>104</v>
      </c>
      <c r="EQ114" s="3">
        <v>-3603</v>
      </c>
      <c r="ER114" s="138">
        <v>184</v>
      </c>
      <c r="ES114" s="138">
        <v>94</v>
      </c>
      <c r="ET114" s="163"/>
      <c r="EU114" s="163"/>
      <c r="EV114" s="138">
        <v>690</v>
      </c>
      <c r="EW114" s="138">
        <v>2702</v>
      </c>
      <c r="EX114" s="138"/>
      <c r="EY114" s="138">
        <v>3468</v>
      </c>
      <c r="EZ114" s="138">
        <v>0</v>
      </c>
      <c r="FA114" s="138">
        <v>0</v>
      </c>
      <c r="FB114" s="138">
        <v>0</v>
      </c>
      <c r="FC114" s="138">
        <v>1942</v>
      </c>
      <c r="FD114" s="138">
        <v>3388</v>
      </c>
      <c r="FE114" s="138">
        <v>688</v>
      </c>
      <c r="FF114" s="138">
        <v>2700</v>
      </c>
      <c r="FG114" s="138">
        <v>2242</v>
      </c>
      <c r="FH114" s="138">
        <v>6856</v>
      </c>
      <c r="FI114" s="138">
        <v>684</v>
      </c>
      <c r="FJ114" s="138">
        <v>6172</v>
      </c>
      <c r="FK114" s="138">
        <v>2167</v>
      </c>
      <c r="FL114" s="147">
        <v>2061</v>
      </c>
      <c r="FM114" s="147">
        <v>3046.7653936087295</v>
      </c>
      <c r="FO114" s="181">
        <f t="shared" si="3"/>
        <v>467.05</v>
      </c>
      <c r="FP114" s="179">
        <f t="shared" si="5"/>
        <v>122.29641267347475</v>
      </c>
      <c r="FR114" s="184"/>
      <c r="FV114" s="184">
        <v>0</v>
      </c>
      <c r="FW114" s="2">
        <f t="shared" si="4"/>
        <v>0</v>
      </c>
    </row>
    <row r="115" spans="1:179" ht="12.75">
      <c r="A115" s="82">
        <v>301</v>
      </c>
      <c r="B115" s="80" t="s">
        <v>110</v>
      </c>
      <c r="C115" s="191">
        <v>14495</v>
      </c>
      <c r="D115" s="146"/>
      <c r="E115" s="150">
        <v>-1.3944954128440368</v>
      </c>
      <c r="F115" s="150">
        <v>29</v>
      </c>
      <c r="G115" s="151">
        <v>-140</v>
      </c>
      <c r="H115" s="152"/>
      <c r="I115" s="152"/>
      <c r="J115" s="152"/>
      <c r="K115" s="150">
        <v>80.1</v>
      </c>
      <c r="L115" s="151">
        <v>1269</v>
      </c>
      <c r="M115" s="151">
        <v>64</v>
      </c>
      <c r="N115" s="154">
        <v>6466.850638151087</v>
      </c>
      <c r="O115" s="146">
        <v>25786</v>
      </c>
      <c r="P115" s="139">
        <v>11494</v>
      </c>
      <c r="Q115" s="139">
        <v>84877</v>
      </c>
      <c r="R115" s="139">
        <v>-73382</v>
      </c>
      <c r="S115" s="146">
        <v>36282</v>
      </c>
      <c r="T115" s="139">
        <v>34022</v>
      </c>
      <c r="U115" s="160"/>
      <c r="W115" s="138">
        <v>-146</v>
      </c>
      <c r="X115" s="138">
        <v>488</v>
      </c>
      <c r="Y115" s="139">
        <v>-2736</v>
      </c>
      <c r="Z115" s="138">
        <v>4256</v>
      </c>
      <c r="AC115" s="139">
        <v>-6992</v>
      </c>
      <c r="AD115" s="138">
        <v>117</v>
      </c>
      <c r="AG115" s="139">
        <v>-6875</v>
      </c>
      <c r="AH115" s="139">
        <v>36412</v>
      </c>
      <c r="AI115" s="139">
        <v>-3054</v>
      </c>
      <c r="AJ115" s="176"/>
      <c r="AK115" s="138">
        <v>-754</v>
      </c>
      <c r="AL115" s="151">
        <v>-1962</v>
      </c>
      <c r="AM115" s="151">
        <v>-12206</v>
      </c>
      <c r="AN115" s="146">
        <v>36282</v>
      </c>
      <c r="AO115" s="139">
        <v>30860</v>
      </c>
      <c r="AP115" s="139">
        <v>3386</v>
      </c>
      <c r="AQ115" s="139">
        <v>2036</v>
      </c>
      <c r="AR115" s="114">
        <v>18</v>
      </c>
      <c r="AS115" s="152"/>
      <c r="AT115" s="138">
        <v>312</v>
      </c>
      <c r="AU115" s="191">
        <v>14395</v>
      </c>
      <c r="AV115" s="146"/>
      <c r="AW115" s="150">
        <v>0.8021786492374727</v>
      </c>
      <c r="AX115" s="150">
        <v>42.5</v>
      </c>
      <c r="AY115" s="151">
        <v>-801</v>
      </c>
      <c r="AZ115" s="152"/>
      <c r="BA115" s="152"/>
      <c r="BB115" s="152"/>
      <c r="BC115" s="150">
        <v>73</v>
      </c>
      <c r="BD115" s="151">
        <v>1414</v>
      </c>
      <c r="BE115" s="151">
        <v>71</v>
      </c>
      <c r="BF115" s="154">
        <v>7250.781521361584</v>
      </c>
      <c r="BG115" s="146">
        <v>26997</v>
      </c>
      <c r="BH115" s="139">
        <v>10900</v>
      </c>
      <c r="BI115" s="139">
        <v>88598</v>
      </c>
      <c r="BJ115" s="139">
        <v>-77698</v>
      </c>
      <c r="BK115" s="146">
        <v>36025</v>
      </c>
      <c r="BL115" s="146">
        <v>33501</v>
      </c>
      <c r="BM115" s="160"/>
      <c r="BO115" s="138">
        <v>-295</v>
      </c>
      <c r="BP115" s="138">
        <v>9942</v>
      </c>
      <c r="BQ115" s="139">
        <v>1475</v>
      </c>
      <c r="BR115" s="138">
        <v>4876</v>
      </c>
      <c r="BU115" s="139">
        <v>-3401</v>
      </c>
      <c r="BV115" s="138">
        <v>112</v>
      </c>
      <c r="BY115" s="138">
        <v>-3289</v>
      </c>
      <c r="BZ115" s="139">
        <v>33124</v>
      </c>
      <c r="CA115" s="139">
        <v>1428</v>
      </c>
      <c r="CB115" s="176"/>
      <c r="CC115" s="138">
        <v>930</v>
      </c>
      <c r="CD115" s="151">
        <v>-1929</v>
      </c>
      <c r="CE115" s="151">
        <v>-9907</v>
      </c>
      <c r="CF115" s="138">
        <v>36025</v>
      </c>
      <c r="CG115" s="139">
        <v>32453</v>
      </c>
      <c r="CH115" s="139">
        <v>1799</v>
      </c>
      <c r="CI115" s="139">
        <v>1773</v>
      </c>
      <c r="CJ115" s="114">
        <v>18</v>
      </c>
      <c r="CK115" s="152"/>
      <c r="CL115" s="138">
        <v>188</v>
      </c>
      <c r="CM115" s="190">
        <v>14322</v>
      </c>
      <c r="CN115" s="146"/>
      <c r="CO115" s="150">
        <v>1.9244372990353698</v>
      </c>
      <c r="CP115" s="150">
        <v>50.57998151840864</v>
      </c>
      <c r="CQ115" s="151">
        <v>-939.2542940930038</v>
      </c>
      <c r="CR115" s="152"/>
      <c r="CS115" s="152"/>
      <c r="CT115" s="152"/>
      <c r="CU115" s="150">
        <v>71.29430646609178</v>
      </c>
      <c r="CV115" s="151">
        <v>1788.5071917329983</v>
      </c>
      <c r="CW115" s="151">
        <v>76.437056476667</v>
      </c>
      <c r="CX115" s="154">
        <v>8540.427314620863</v>
      </c>
      <c r="CY115" s="146">
        <v>25092</v>
      </c>
      <c r="CZ115" s="139">
        <v>9233</v>
      </c>
      <c r="DA115" s="139">
        <v>90685</v>
      </c>
      <c r="DB115" s="139">
        <v>-81452</v>
      </c>
      <c r="DC115" s="146">
        <v>38246</v>
      </c>
      <c r="DD115" s="146">
        <v>34765</v>
      </c>
      <c r="DE115" s="160"/>
      <c r="DG115" s="138">
        <v>3</v>
      </c>
      <c r="DH115" s="138">
        <v>14048</v>
      </c>
      <c r="DI115" s="139">
        <v>5610</v>
      </c>
      <c r="DJ115" s="138">
        <v>4235</v>
      </c>
      <c r="DK115" s="138">
        <v>9455</v>
      </c>
      <c r="DM115" s="139">
        <v>10830</v>
      </c>
      <c r="DN115" s="138">
        <v>204</v>
      </c>
      <c r="DO115" s="138">
        <v>-3000</v>
      </c>
      <c r="DQ115" s="138">
        <v>8034</v>
      </c>
      <c r="DR115" s="139">
        <v>41158</v>
      </c>
      <c r="DS115" s="139">
        <v>14865</v>
      </c>
      <c r="DT115" s="176"/>
      <c r="DU115" s="138">
        <v>-181</v>
      </c>
      <c r="DV115" s="151">
        <v>-2735</v>
      </c>
      <c r="DW115" s="138">
        <v>8557</v>
      </c>
      <c r="DX115" s="138">
        <v>38246</v>
      </c>
      <c r="DY115" s="146">
        <v>34743</v>
      </c>
      <c r="DZ115" s="196">
        <v>1683</v>
      </c>
      <c r="EA115" s="146">
        <v>1820</v>
      </c>
      <c r="EB115" s="114">
        <v>19</v>
      </c>
      <c r="EC115" s="152"/>
      <c r="ED115" s="138">
        <v>90</v>
      </c>
      <c r="EE115" s="138">
        <v>47667</v>
      </c>
      <c r="EF115" s="138">
        <v>49392</v>
      </c>
      <c r="EG115" s="138">
        <v>55920</v>
      </c>
      <c r="EH115" s="138"/>
      <c r="EI115" s="138"/>
      <c r="EJ115" s="138"/>
      <c r="EK115" s="3">
        <v>-9687</v>
      </c>
      <c r="EL115" s="138">
        <v>43</v>
      </c>
      <c r="EM115" s="138">
        <v>492</v>
      </c>
      <c r="EN115" s="3">
        <v>-13414</v>
      </c>
      <c r="EO115" s="138">
        <v>746</v>
      </c>
      <c r="EP115" s="138">
        <v>1333</v>
      </c>
      <c r="EQ115" s="3">
        <v>-17932</v>
      </c>
      <c r="ER115" s="138">
        <v>83</v>
      </c>
      <c r="ES115" s="138">
        <v>11542</v>
      </c>
      <c r="ET115" s="163">
        <v>5000</v>
      </c>
      <c r="EU115" s="163"/>
      <c r="EV115" s="138">
        <v>10000</v>
      </c>
      <c r="EW115" s="138">
        <v>2000</v>
      </c>
      <c r="EX115" s="138">
        <v>13000</v>
      </c>
      <c r="EY115" s="138">
        <v>-1200</v>
      </c>
      <c r="EZ115" s="138">
        <v>14040</v>
      </c>
      <c r="FA115" s="138">
        <v>12111</v>
      </c>
      <c r="FB115" s="138">
        <v>1929</v>
      </c>
      <c r="FC115" s="138">
        <v>2290</v>
      </c>
      <c r="FD115" s="138">
        <v>24112</v>
      </c>
      <c r="FE115" s="138">
        <v>19783</v>
      </c>
      <c r="FF115" s="138">
        <v>4329</v>
      </c>
      <c r="FG115" s="138">
        <v>1947</v>
      </c>
      <c r="FH115" s="138">
        <v>33283</v>
      </c>
      <c r="FI115" s="138">
        <v>24089</v>
      </c>
      <c r="FJ115" s="138">
        <v>9194</v>
      </c>
      <c r="FK115" s="138">
        <v>12358</v>
      </c>
      <c r="FL115" s="147">
        <v>2486</v>
      </c>
      <c r="FM115" s="147">
        <v>3195.6929489406043</v>
      </c>
      <c r="FO115" s="181">
        <f t="shared" si="3"/>
        <v>1828.578947368421</v>
      </c>
      <c r="FP115" s="179">
        <f t="shared" si="5"/>
        <v>127.67622869490441</v>
      </c>
      <c r="FR115" s="184"/>
      <c r="FV115" s="184">
        <v>1962</v>
      </c>
      <c r="FW115" s="2">
        <f t="shared" si="4"/>
        <v>-1962</v>
      </c>
    </row>
    <row r="116" spans="1:179" ht="12.75">
      <c r="A116" s="82">
        <v>304</v>
      </c>
      <c r="B116" s="80" t="s">
        <v>111</v>
      </c>
      <c r="C116" s="191">
        <v>886</v>
      </c>
      <c r="D116" s="146"/>
      <c r="E116" s="150">
        <v>1.4855072463768115</v>
      </c>
      <c r="F116" s="150">
        <v>29.7</v>
      </c>
      <c r="G116" s="151">
        <v>-458</v>
      </c>
      <c r="H116" s="152"/>
      <c r="I116" s="152"/>
      <c r="J116" s="152"/>
      <c r="K116" s="150">
        <v>72.2</v>
      </c>
      <c r="L116" s="151">
        <v>1317</v>
      </c>
      <c r="M116" s="151">
        <v>59</v>
      </c>
      <c r="N116" s="154">
        <v>21756.20767494357</v>
      </c>
      <c r="O116" s="146">
        <v>1949</v>
      </c>
      <c r="P116" s="139">
        <v>1051</v>
      </c>
      <c r="Q116" s="139">
        <v>6337</v>
      </c>
      <c r="R116" s="139">
        <v>-5286</v>
      </c>
      <c r="S116" s="146">
        <v>3478</v>
      </c>
      <c r="T116" s="139">
        <v>2193</v>
      </c>
      <c r="U116" s="160"/>
      <c r="W116" s="138">
        <v>-31</v>
      </c>
      <c r="X116" s="138">
        <v>21</v>
      </c>
      <c r="Y116" s="139">
        <v>375</v>
      </c>
      <c r="Z116" s="138">
        <v>204</v>
      </c>
      <c r="AA116" s="139"/>
      <c r="AC116" s="139">
        <v>171</v>
      </c>
      <c r="AD116" s="138">
        <v>18</v>
      </c>
      <c r="AG116" s="139">
        <v>189</v>
      </c>
      <c r="AH116" s="139">
        <v>1124</v>
      </c>
      <c r="AI116" s="139">
        <v>368</v>
      </c>
      <c r="AJ116" s="176"/>
      <c r="AK116" s="138">
        <v>-58</v>
      </c>
      <c r="AL116" s="151">
        <v>-174</v>
      </c>
      <c r="AM116" s="151">
        <v>-266</v>
      </c>
      <c r="AN116" s="146">
        <v>3478</v>
      </c>
      <c r="AO116" s="139">
        <v>2219</v>
      </c>
      <c r="AP116" s="139">
        <v>169</v>
      </c>
      <c r="AQ116" s="139">
        <v>1090</v>
      </c>
      <c r="AR116" s="114">
        <v>19.25</v>
      </c>
      <c r="AS116" s="152"/>
      <c r="AT116" s="138">
        <v>68</v>
      </c>
      <c r="AU116" s="191">
        <v>889</v>
      </c>
      <c r="AV116" s="146"/>
      <c r="AW116" s="150">
        <v>2.8976744186046512</v>
      </c>
      <c r="AX116" s="150">
        <v>25.7</v>
      </c>
      <c r="AY116" s="151">
        <v>-825</v>
      </c>
      <c r="AZ116" s="152"/>
      <c r="BA116" s="152"/>
      <c r="BB116" s="152"/>
      <c r="BC116" s="150">
        <v>74</v>
      </c>
      <c r="BD116" s="151">
        <v>817</v>
      </c>
      <c r="BE116" s="151">
        <v>32</v>
      </c>
      <c r="BF116" s="154">
        <v>9193.47581552306</v>
      </c>
      <c r="BG116" s="146">
        <v>1993</v>
      </c>
      <c r="BH116" s="139">
        <v>1100</v>
      </c>
      <c r="BI116" s="139">
        <v>6804</v>
      </c>
      <c r="BJ116" s="139">
        <v>-5704</v>
      </c>
      <c r="BK116" s="146">
        <v>3585</v>
      </c>
      <c r="BL116" s="146">
        <v>2733</v>
      </c>
      <c r="BM116" s="160"/>
      <c r="BO116" s="138">
        <v>-33</v>
      </c>
      <c r="BP116" s="138">
        <v>9</v>
      </c>
      <c r="BQ116" s="139">
        <v>590</v>
      </c>
      <c r="BR116" s="138">
        <v>210</v>
      </c>
      <c r="BS116" s="139"/>
      <c r="BT116" s="138">
        <v>22</v>
      </c>
      <c r="BU116" s="139">
        <v>358</v>
      </c>
      <c r="BV116" s="138">
        <v>18</v>
      </c>
      <c r="BW116" s="138">
        <v>22</v>
      </c>
      <c r="BY116" s="138">
        <v>398</v>
      </c>
      <c r="BZ116" s="139">
        <v>1522</v>
      </c>
      <c r="CA116" s="139">
        <v>590</v>
      </c>
      <c r="CB116" s="176"/>
      <c r="CC116" s="138">
        <v>-30</v>
      </c>
      <c r="CD116" s="151">
        <v>-182</v>
      </c>
      <c r="CE116" s="151">
        <v>-232</v>
      </c>
      <c r="CF116" s="138">
        <v>3585</v>
      </c>
      <c r="CG116" s="139">
        <v>2296</v>
      </c>
      <c r="CH116" s="139">
        <v>120</v>
      </c>
      <c r="CI116" s="139">
        <v>1169</v>
      </c>
      <c r="CJ116" s="114">
        <v>19.25</v>
      </c>
      <c r="CK116" s="152"/>
      <c r="CL116" s="138">
        <v>11</v>
      </c>
      <c r="CM116" s="190">
        <v>869</v>
      </c>
      <c r="CN116" s="146"/>
      <c r="CO116" s="150">
        <v>3.035573122529644</v>
      </c>
      <c r="CP116" s="150">
        <v>29.206349206349206</v>
      </c>
      <c r="CQ116" s="151">
        <v>-937.8596087456848</v>
      </c>
      <c r="CR116" s="152"/>
      <c r="CS116" s="152"/>
      <c r="CT116" s="152"/>
      <c r="CU116" s="150">
        <v>73.12205153018023</v>
      </c>
      <c r="CV116" s="151">
        <v>814.7295742232451</v>
      </c>
      <c r="CW116" s="151">
        <v>30.95591758505031</v>
      </c>
      <c r="CX116" s="154">
        <v>9606.44418872267</v>
      </c>
      <c r="CY116" s="146">
        <v>2017</v>
      </c>
      <c r="CZ116" s="139">
        <v>1062</v>
      </c>
      <c r="DA116" s="139">
        <v>6800</v>
      </c>
      <c r="DB116" s="139">
        <v>-5738</v>
      </c>
      <c r="DC116" s="146">
        <v>3895</v>
      </c>
      <c r="DD116" s="146">
        <v>2603</v>
      </c>
      <c r="DE116" s="160"/>
      <c r="DG116" s="138">
        <v>-30</v>
      </c>
      <c r="DH116" s="138">
        <v>8</v>
      </c>
      <c r="DI116" s="139">
        <v>738</v>
      </c>
      <c r="DJ116" s="138">
        <v>255</v>
      </c>
      <c r="DK116" s="139">
        <v>33</v>
      </c>
      <c r="DM116" s="139">
        <v>516</v>
      </c>
      <c r="DN116" s="138">
        <v>18</v>
      </c>
      <c r="DQ116" s="138">
        <v>534</v>
      </c>
      <c r="DR116" s="139">
        <v>2056</v>
      </c>
      <c r="DS116" s="139">
        <v>738</v>
      </c>
      <c r="DT116" s="176"/>
      <c r="DU116" s="138">
        <v>-236</v>
      </c>
      <c r="DV116" s="151">
        <v>-223</v>
      </c>
      <c r="DW116" s="138">
        <v>-122</v>
      </c>
      <c r="DX116" s="138">
        <v>3895</v>
      </c>
      <c r="DY116" s="146">
        <v>2551</v>
      </c>
      <c r="DZ116" s="196">
        <v>135</v>
      </c>
      <c r="EA116" s="146">
        <v>1209</v>
      </c>
      <c r="EB116" s="114">
        <v>19.25</v>
      </c>
      <c r="EC116" s="152"/>
      <c r="ED116" s="138">
        <v>5</v>
      </c>
      <c r="EE116" s="138">
        <v>3579</v>
      </c>
      <c r="EF116" s="138">
        <v>3867</v>
      </c>
      <c r="EG116" s="138">
        <v>3846</v>
      </c>
      <c r="EH116" s="138"/>
      <c r="EI116" s="138"/>
      <c r="EJ116" s="138"/>
      <c r="EK116" s="3">
        <v>-730</v>
      </c>
      <c r="EL116" s="138">
        <v>88</v>
      </c>
      <c r="EM116" s="138">
        <v>8</v>
      </c>
      <c r="EN116" s="3">
        <v>-1152</v>
      </c>
      <c r="EO116" s="138">
        <v>328</v>
      </c>
      <c r="EP116" s="138">
        <v>2</v>
      </c>
      <c r="EQ116" s="3">
        <v>-1295</v>
      </c>
      <c r="ER116" s="138">
        <v>407</v>
      </c>
      <c r="ES116" s="138">
        <v>28</v>
      </c>
      <c r="ET116" s="163">
        <v>425</v>
      </c>
      <c r="EU116" s="163"/>
      <c r="EV116" s="138">
        <v>195</v>
      </c>
      <c r="EW116" s="138">
        <v>11</v>
      </c>
      <c r="EX116" s="138">
        <v>470</v>
      </c>
      <c r="EY116" s="138"/>
      <c r="EZ116" s="138">
        <v>1271</v>
      </c>
      <c r="FA116" s="138">
        <v>1090</v>
      </c>
      <c r="FB116" s="138">
        <v>181</v>
      </c>
      <c r="FC116" s="138">
        <v>0</v>
      </c>
      <c r="FD116" s="138">
        <v>1275</v>
      </c>
      <c r="FE116" s="138">
        <v>1083</v>
      </c>
      <c r="FF116" s="138">
        <v>192</v>
      </c>
      <c r="FG116" s="138">
        <v>0</v>
      </c>
      <c r="FH116" s="138">
        <v>1530</v>
      </c>
      <c r="FI116" s="138">
        <v>1303</v>
      </c>
      <c r="FJ116" s="138">
        <v>227</v>
      </c>
      <c r="FK116" s="138">
        <v>0</v>
      </c>
      <c r="FL116" s="147" t="s">
        <v>389</v>
      </c>
      <c r="FM116" s="147" t="s">
        <v>389</v>
      </c>
      <c r="FO116" s="181">
        <f t="shared" si="3"/>
        <v>132.5194805194805</v>
      </c>
      <c r="FP116" s="179">
        <f t="shared" si="5"/>
        <v>152.49652533887283</v>
      </c>
      <c r="FR116" s="184"/>
      <c r="FV116" s="184">
        <v>174</v>
      </c>
      <c r="FW116" s="2">
        <f t="shared" si="4"/>
        <v>-174</v>
      </c>
    </row>
    <row r="117" spans="1:179" ht="12.75">
      <c r="A117" s="82">
        <v>305</v>
      </c>
      <c r="B117" s="80" t="s">
        <v>112</v>
      </c>
      <c r="C117" s="191">
        <v>16373</v>
      </c>
      <c r="D117" s="146"/>
      <c r="E117" s="150">
        <v>0.5418698325206699</v>
      </c>
      <c r="F117" s="150">
        <v>36.6</v>
      </c>
      <c r="G117" s="151">
        <v>-820</v>
      </c>
      <c r="H117" s="152"/>
      <c r="I117" s="152"/>
      <c r="J117" s="152"/>
      <c r="K117" s="150">
        <v>65</v>
      </c>
      <c r="L117" s="151">
        <v>1091</v>
      </c>
      <c r="M117" s="151">
        <v>53</v>
      </c>
      <c r="N117" s="154">
        <v>6542.6616991388255</v>
      </c>
      <c r="O117" s="146">
        <v>52519</v>
      </c>
      <c r="P117" s="139">
        <v>21146</v>
      </c>
      <c r="Q117" s="139">
        <v>106698</v>
      </c>
      <c r="R117" s="139">
        <v>-85552</v>
      </c>
      <c r="S117" s="146">
        <v>47713</v>
      </c>
      <c r="T117" s="139">
        <v>40140</v>
      </c>
      <c r="U117" s="160"/>
      <c r="W117" s="138">
        <v>-604</v>
      </c>
      <c r="X117" s="138">
        <v>828</v>
      </c>
      <c r="Y117" s="139">
        <v>2525</v>
      </c>
      <c r="Z117" s="138">
        <v>3865</v>
      </c>
      <c r="AC117" s="139">
        <v>-1340</v>
      </c>
      <c r="AD117" s="139"/>
      <c r="AF117" s="138">
        <v>328</v>
      </c>
      <c r="AG117" s="139">
        <v>-1012</v>
      </c>
      <c r="AH117" s="139">
        <v>6701</v>
      </c>
      <c r="AI117" s="139">
        <v>1861</v>
      </c>
      <c r="AJ117" s="176"/>
      <c r="AK117" s="138">
        <v>-1536</v>
      </c>
      <c r="AL117" s="151">
        <v>-4686</v>
      </c>
      <c r="AM117" s="151">
        <v>-1818</v>
      </c>
      <c r="AN117" s="146">
        <v>47713</v>
      </c>
      <c r="AO117" s="139">
        <v>38630</v>
      </c>
      <c r="AP117" s="139">
        <v>4150</v>
      </c>
      <c r="AQ117" s="139">
        <v>4933</v>
      </c>
      <c r="AR117" s="114">
        <v>19.5</v>
      </c>
      <c r="AS117" s="152"/>
      <c r="AT117" s="138">
        <v>231</v>
      </c>
      <c r="AU117" s="191">
        <v>16167</v>
      </c>
      <c r="AV117" s="146"/>
      <c r="AW117" s="150">
        <v>1.1483171705647461</v>
      </c>
      <c r="AX117" s="150">
        <v>38.3</v>
      </c>
      <c r="AY117" s="151">
        <v>-873</v>
      </c>
      <c r="AZ117" s="152"/>
      <c r="BA117" s="152"/>
      <c r="BB117" s="152"/>
      <c r="BC117" s="150">
        <v>63.2</v>
      </c>
      <c r="BD117" s="151">
        <v>1301</v>
      </c>
      <c r="BE117" s="151">
        <v>66</v>
      </c>
      <c r="BF117" s="154">
        <v>7172.264489391971</v>
      </c>
      <c r="BG117" s="146">
        <v>54448</v>
      </c>
      <c r="BH117" s="139">
        <v>20333</v>
      </c>
      <c r="BI117" s="139">
        <v>108292</v>
      </c>
      <c r="BJ117" s="139">
        <v>-87959</v>
      </c>
      <c r="BK117" s="146">
        <v>47094</v>
      </c>
      <c r="BL117" s="146">
        <v>43513</v>
      </c>
      <c r="BM117" s="160"/>
      <c r="BO117" s="138">
        <v>-657</v>
      </c>
      <c r="BP117" s="138">
        <v>1287</v>
      </c>
      <c r="BQ117" s="139">
        <v>3278</v>
      </c>
      <c r="BR117" s="138">
        <v>4009</v>
      </c>
      <c r="BU117" s="139">
        <v>-731</v>
      </c>
      <c r="BV117" s="139"/>
      <c r="BX117" s="138">
        <v>290</v>
      </c>
      <c r="BY117" s="138">
        <v>-441</v>
      </c>
      <c r="BZ117" s="139">
        <v>6260</v>
      </c>
      <c r="CA117" s="139">
        <v>3111</v>
      </c>
      <c r="CB117" s="176"/>
      <c r="CC117" s="138">
        <v>1134</v>
      </c>
      <c r="CD117" s="151">
        <v>-2758</v>
      </c>
      <c r="CE117" s="151">
        <v>-672</v>
      </c>
      <c r="CF117" s="138">
        <v>47094</v>
      </c>
      <c r="CG117" s="139">
        <v>39017</v>
      </c>
      <c r="CH117" s="139">
        <v>2953</v>
      </c>
      <c r="CI117" s="139">
        <v>5124</v>
      </c>
      <c r="CJ117" s="114">
        <v>19.5</v>
      </c>
      <c r="CK117" s="152"/>
      <c r="CL117" s="138">
        <v>113</v>
      </c>
      <c r="CM117" s="190">
        <v>15952</v>
      </c>
      <c r="CN117" s="146"/>
      <c r="CO117" s="150">
        <v>1.8179794043974395</v>
      </c>
      <c r="CP117" s="150">
        <v>36.27915797458752</v>
      </c>
      <c r="CQ117" s="151">
        <v>-885.9077231695085</v>
      </c>
      <c r="CR117" s="152"/>
      <c r="CS117" s="152"/>
      <c r="CT117" s="152"/>
      <c r="CU117" s="150">
        <v>63.3866380558252</v>
      </c>
      <c r="CV117" s="151">
        <v>1370.9252758274824</v>
      </c>
      <c r="CW117" s="151">
        <v>64.98827600244249</v>
      </c>
      <c r="CX117" s="154">
        <v>7699.66148445336</v>
      </c>
      <c r="CY117" s="146">
        <v>54026</v>
      </c>
      <c r="CZ117" s="139">
        <v>21172</v>
      </c>
      <c r="DA117" s="139">
        <v>112012</v>
      </c>
      <c r="DB117" s="139">
        <v>-90840</v>
      </c>
      <c r="DC117" s="146">
        <v>49923</v>
      </c>
      <c r="DD117" s="146">
        <v>45545</v>
      </c>
      <c r="DE117" s="160"/>
      <c r="DG117" s="138">
        <v>-614</v>
      </c>
      <c r="DH117" s="138">
        <v>1838</v>
      </c>
      <c r="DI117" s="139">
        <v>5852</v>
      </c>
      <c r="DJ117" s="138">
        <v>4347</v>
      </c>
      <c r="DM117" s="139">
        <v>1505</v>
      </c>
      <c r="DN117" s="139"/>
      <c r="DP117" s="138">
        <v>355</v>
      </c>
      <c r="DQ117" s="138">
        <v>1860</v>
      </c>
      <c r="DR117" s="139">
        <v>7575</v>
      </c>
      <c r="DS117" s="139">
        <v>5079</v>
      </c>
      <c r="DT117" s="176"/>
      <c r="DU117" s="138">
        <v>908</v>
      </c>
      <c r="DV117" s="151">
        <v>-2913</v>
      </c>
      <c r="DW117" s="138">
        <v>1810</v>
      </c>
      <c r="DX117" s="138">
        <v>49923</v>
      </c>
      <c r="DY117" s="146">
        <v>40653</v>
      </c>
      <c r="DZ117" s="196">
        <v>2957</v>
      </c>
      <c r="EA117" s="146">
        <v>6313</v>
      </c>
      <c r="EB117" s="114">
        <v>19.5</v>
      </c>
      <c r="EC117" s="152"/>
      <c r="ED117" s="138">
        <v>102</v>
      </c>
      <c r="EE117" s="138">
        <v>40260</v>
      </c>
      <c r="EF117" s="138">
        <v>40236</v>
      </c>
      <c r="EG117" s="138">
        <v>43946</v>
      </c>
      <c r="EH117" s="138"/>
      <c r="EI117" s="138"/>
      <c r="EJ117" s="138"/>
      <c r="EK117" s="3">
        <v>-9462</v>
      </c>
      <c r="EL117" s="138">
        <v>2610</v>
      </c>
      <c r="EM117" s="138">
        <v>3173</v>
      </c>
      <c r="EN117" s="3">
        <v>-5188</v>
      </c>
      <c r="EO117" s="138">
        <v>978</v>
      </c>
      <c r="EP117" s="138">
        <v>427</v>
      </c>
      <c r="EQ117" s="3">
        <v>-7542</v>
      </c>
      <c r="ER117" s="138">
        <v>1516</v>
      </c>
      <c r="ES117" s="138">
        <v>2757</v>
      </c>
      <c r="ET117" s="163">
        <v>9750</v>
      </c>
      <c r="EU117" s="163">
        <v>-500</v>
      </c>
      <c r="EV117" s="138">
        <v>6500</v>
      </c>
      <c r="EW117" s="138">
        <v>-1000</v>
      </c>
      <c r="EX117" s="138"/>
      <c r="EY117" s="138">
        <v>1000</v>
      </c>
      <c r="EZ117" s="138">
        <v>26123</v>
      </c>
      <c r="FA117" s="138">
        <v>21515</v>
      </c>
      <c r="FB117" s="138">
        <v>4608</v>
      </c>
      <c r="FC117" s="138">
        <v>6481</v>
      </c>
      <c r="FD117" s="138">
        <v>28864</v>
      </c>
      <c r="FE117" s="138">
        <v>24952</v>
      </c>
      <c r="FF117" s="138">
        <v>3912</v>
      </c>
      <c r="FG117" s="138">
        <v>6407</v>
      </c>
      <c r="FH117" s="138">
        <v>26951</v>
      </c>
      <c r="FI117" s="138">
        <v>20498</v>
      </c>
      <c r="FJ117" s="138">
        <v>6453</v>
      </c>
      <c r="FK117" s="138">
        <v>6482</v>
      </c>
      <c r="FL117" s="147">
        <v>3657</v>
      </c>
      <c r="FM117" s="147">
        <v>3820.9933815797613</v>
      </c>
      <c r="FO117" s="181">
        <f t="shared" si="3"/>
        <v>2084.769230769231</v>
      </c>
      <c r="FP117" s="179">
        <f t="shared" si="5"/>
        <v>130.69014736517246</v>
      </c>
      <c r="FR117" s="184"/>
      <c r="FV117" s="184">
        <v>4686</v>
      </c>
      <c r="FW117" s="2">
        <f t="shared" si="4"/>
        <v>-4686</v>
      </c>
    </row>
    <row r="118" spans="1:179" ht="12.75">
      <c r="A118" s="82">
        <v>312</v>
      </c>
      <c r="B118" s="80" t="s">
        <v>114</v>
      </c>
      <c r="C118" s="191">
        <v>1503</v>
      </c>
      <c r="D118" s="146"/>
      <c r="E118" s="150">
        <v>0.7231270358306189</v>
      </c>
      <c r="F118" s="150">
        <v>64.8</v>
      </c>
      <c r="G118" s="151">
        <v>-878</v>
      </c>
      <c r="H118" s="152"/>
      <c r="I118" s="152"/>
      <c r="J118" s="152"/>
      <c r="K118" s="150">
        <v>57.3</v>
      </c>
      <c r="L118" s="151">
        <v>3218</v>
      </c>
      <c r="M118" s="151">
        <v>165</v>
      </c>
      <c r="N118" s="154">
        <v>7137.059214903526</v>
      </c>
      <c r="O118" s="146">
        <v>2477</v>
      </c>
      <c r="P118" s="139">
        <v>1441</v>
      </c>
      <c r="Q118" s="139">
        <v>9325</v>
      </c>
      <c r="R118" s="139">
        <v>-7884</v>
      </c>
      <c r="S118" s="146">
        <v>4018</v>
      </c>
      <c r="T118" s="139">
        <v>4457</v>
      </c>
      <c r="U118" s="160"/>
      <c r="W118" s="138">
        <v>-25</v>
      </c>
      <c r="X118" s="138">
        <v>-41</v>
      </c>
      <c r="Y118" s="139">
        <v>525</v>
      </c>
      <c r="Z118" s="138">
        <v>456</v>
      </c>
      <c r="AB118" s="138">
        <v>112</v>
      </c>
      <c r="AC118" s="139">
        <v>-43</v>
      </c>
      <c r="AG118" s="139">
        <v>-43</v>
      </c>
      <c r="AH118" s="139">
        <v>3403</v>
      </c>
      <c r="AI118" s="139">
        <v>393</v>
      </c>
      <c r="AJ118" s="176"/>
      <c r="AK118" s="138">
        <v>153</v>
      </c>
      <c r="AL118" s="151">
        <v>-780</v>
      </c>
      <c r="AM118" s="151">
        <v>-2</v>
      </c>
      <c r="AN118" s="146">
        <v>4018</v>
      </c>
      <c r="AO118" s="139">
        <v>3148</v>
      </c>
      <c r="AP118" s="139">
        <v>689</v>
      </c>
      <c r="AQ118" s="139">
        <v>181</v>
      </c>
      <c r="AR118" s="114">
        <v>19</v>
      </c>
      <c r="AS118" s="152"/>
      <c r="AT118" s="138">
        <v>98</v>
      </c>
      <c r="AU118" s="191">
        <v>1469</v>
      </c>
      <c r="AV118" s="146"/>
      <c r="AW118" s="150">
        <v>-0.6303854875283447</v>
      </c>
      <c r="AX118" s="150">
        <v>80.3</v>
      </c>
      <c r="AY118" s="151">
        <v>-1831</v>
      </c>
      <c r="AZ118" s="152"/>
      <c r="BA118" s="152"/>
      <c r="BB118" s="152"/>
      <c r="BC118" s="150">
        <v>49.3</v>
      </c>
      <c r="BD118" s="151">
        <v>3285</v>
      </c>
      <c r="BE118" s="151">
        <v>148</v>
      </c>
      <c r="BF118" s="154">
        <v>8075.561606535057</v>
      </c>
      <c r="BG118" s="146">
        <v>2627</v>
      </c>
      <c r="BH118" s="139">
        <v>1590</v>
      </c>
      <c r="BI118" s="139">
        <v>10432</v>
      </c>
      <c r="BJ118" s="139">
        <v>-8842</v>
      </c>
      <c r="BK118" s="146">
        <v>3736</v>
      </c>
      <c r="BL118" s="146">
        <v>4393</v>
      </c>
      <c r="BM118" s="160"/>
      <c r="BO118" s="138">
        <v>-43</v>
      </c>
      <c r="BP118" s="138">
        <v>98</v>
      </c>
      <c r="BQ118" s="139">
        <v>-658</v>
      </c>
      <c r="BR118" s="138">
        <v>481</v>
      </c>
      <c r="BT118" s="138">
        <v>133</v>
      </c>
      <c r="BU118" s="139">
        <v>-1272</v>
      </c>
      <c r="BY118" s="138">
        <v>-1272</v>
      </c>
      <c r="BZ118" s="139">
        <v>2132</v>
      </c>
      <c r="CA118" s="139">
        <v>-872</v>
      </c>
      <c r="CB118" s="176"/>
      <c r="CC118" s="138">
        <v>-31</v>
      </c>
      <c r="CD118" s="151">
        <v>-780</v>
      </c>
      <c r="CE118" s="151">
        <v>-1372</v>
      </c>
      <c r="CF118" s="138">
        <v>3736</v>
      </c>
      <c r="CG118" s="139">
        <v>3179</v>
      </c>
      <c r="CH118" s="139">
        <v>341</v>
      </c>
      <c r="CI118" s="139">
        <v>216</v>
      </c>
      <c r="CJ118" s="114">
        <v>19.5</v>
      </c>
      <c r="CK118" s="152"/>
      <c r="CL118" s="138">
        <v>317</v>
      </c>
      <c r="CM118" s="190">
        <v>1431</v>
      </c>
      <c r="CN118" s="146"/>
      <c r="CO118" s="150">
        <v>-0.9126344086021505</v>
      </c>
      <c r="CP118" s="150">
        <v>85.18236358442053</v>
      </c>
      <c r="CQ118" s="151">
        <v>-2796.64570230608</v>
      </c>
      <c r="CR118" s="152"/>
      <c r="CS118" s="152"/>
      <c r="CT118" s="152"/>
      <c r="CU118" s="150">
        <v>41.63791419829438</v>
      </c>
      <c r="CV118" s="151">
        <v>3301.1879804332634</v>
      </c>
      <c r="CW118" s="151">
        <v>135.501768172888</v>
      </c>
      <c r="CX118" s="154">
        <v>8892.382948986724</v>
      </c>
      <c r="CY118" s="146">
        <v>2671</v>
      </c>
      <c r="CZ118" s="139">
        <v>1718</v>
      </c>
      <c r="DA118" s="139">
        <v>11373</v>
      </c>
      <c r="DB118" s="139">
        <v>-9655</v>
      </c>
      <c r="DC118" s="146">
        <v>3946</v>
      </c>
      <c r="DD118" s="146">
        <v>4859</v>
      </c>
      <c r="DE118" s="160"/>
      <c r="DG118" s="138">
        <v>21</v>
      </c>
      <c r="DH118" s="138">
        <v>91</v>
      </c>
      <c r="DI118" s="139">
        <v>-738</v>
      </c>
      <c r="DJ118" s="138">
        <v>485</v>
      </c>
      <c r="DM118" s="139">
        <v>-1223</v>
      </c>
      <c r="DQ118" s="138">
        <v>-1223</v>
      </c>
      <c r="DR118" s="139">
        <v>909</v>
      </c>
      <c r="DS118" s="139">
        <v>-745</v>
      </c>
      <c r="DT118" s="176"/>
      <c r="DU118" s="138">
        <v>64</v>
      </c>
      <c r="DV118" s="151">
        <v>-685</v>
      </c>
      <c r="DW118" s="138">
        <v>-1313</v>
      </c>
      <c r="DX118" s="138">
        <v>3946</v>
      </c>
      <c r="DY118" s="146">
        <v>3184</v>
      </c>
      <c r="DZ118" s="196">
        <v>530</v>
      </c>
      <c r="EA118" s="146">
        <v>232</v>
      </c>
      <c r="EB118" s="114">
        <v>19.5</v>
      </c>
      <c r="EC118" s="152"/>
      <c r="ED118" s="138">
        <v>303</v>
      </c>
      <c r="EE118" s="138">
        <v>5830</v>
      </c>
      <c r="EF118" s="138">
        <v>6666</v>
      </c>
      <c r="EG118" s="138">
        <v>7627</v>
      </c>
      <c r="EH118" s="138"/>
      <c r="EI118" s="138"/>
      <c r="EJ118" s="138"/>
      <c r="EK118" s="3">
        <v>-422</v>
      </c>
      <c r="EL118" s="138">
        <v>21</v>
      </c>
      <c r="EM118" s="138">
        <v>6</v>
      </c>
      <c r="EN118" s="3">
        <v>-514</v>
      </c>
      <c r="EO118" s="138"/>
      <c r="EP118" s="138">
        <v>14</v>
      </c>
      <c r="EQ118" s="3">
        <v>-587</v>
      </c>
      <c r="ER118" s="138">
        <v>3</v>
      </c>
      <c r="ES118" s="138">
        <v>16</v>
      </c>
      <c r="ET118" s="163">
        <v>1100</v>
      </c>
      <c r="EU118" s="163"/>
      <c r="EV118" s="138">
        <v>2000</v>
      </c>
      <c r="EW118" s="138"/>
      <c r="EX118" s="138">
        <v>1900</v>
      </c>
      <c r="EY118" s="138"/>
      <c r="EZ118" s="138">
        <v>5811</v>
      </c>
      <c r="FA118" s="138">
        <v>5031</v>
      </c>
      <c r="FB118" s="138">
        <v>780</v>
      </c>
      <c r="FC118" s="138">
        <v>356</v>
      </c>
      <c r="FD118" s="138">
        <v>7031</v>
      </c>
      <c r="FE118" s="138">
        <v>6346</v>
      </c>
      <c r="FF118" s="138">
        <v>685</v>
      </c>
      <c r="FG118" s="138">
        <v>356</v>
      </c>
      <c r="FH118" s="138">
        <v>8247</v>
      </c>
      <c r="FI118" s="138">
        <v>7642</v>
      </c>
      <c r="FJ118" s="138">
        <v>605</v>
      </c>
      <c r="FK118" s="138">
        <v>356</v>
      </c>
      <c r="FL118" s="147">
        <v>5806</v>
      </c>
      <c r="FM118" s="147">
        <v>6923.076923076924</v>
      </c>
      <c r="FO118" s="181">
        <f t="shared" si="3"/>
        <v>163.28205128205127</v>
      </c>
      <c r="FP118" s="179">
        <f t="shared" si="5"/>
        <v>114.1034600154097</v>
      </c>
      <c r="FR118" s="184"/>
      <c r="FV118" s="184">
        <v>780</v>
      </c>
      <c r="FW118" s="2">
        <f t="shared" si="4"/>
        <v>-780</v>
      </c>
    </row>
    <row r="119" spans="1:179" ht="12.75">
      <c r="A119" s="82">
        <v>316</v>
      </c>
      <c r="B119" s="80" t="s">
        <v>115</v>
      </c>
      <c r="C119" s="191">
        <v>4798</v>
      </c>
      <c r="D119" s="146"/>
      <c r="E119" s="150">
        <v>2.5714285714285716</v>
      </c>
      <c r="F119" s="150">
        <v>48.1</v>
      </c>
      <c r="G119" s="151">
        <v>-2264</v>
      </c>
      <c r="H119" s="152"/>
      <c r="I119" s="152"/>
      <c r="J119" s="152"/>
      <c r="K119" s="150">
        <v>41.8</v>
      </c>
      <c r="L119" s="151">
        <v>489</v>
      </c>
      <c r="M119" s="151">
        <v>28</v>
      </c>
      <c r="N119" s="154">
        <v>6292.413505627345</v>
      </c>
      <c r="O119" s="146">
        <v>2547</v>
      </c>
      <c r="P119" s="139">
        <v>5312</v>
      </c>
      <c r="Q119" s="139">
        <v>27265</v>
      </c>
      <c r="R119" s="139">
        <v>-21953</v>
      </c>
      <c r="S119" s="146">
        <v>14193</v>
      </c>
      <c r="T119" s="139">
        <v>9540</v>
      </c>
      <c r="U119" s="160"/>
      <c r="W119" s="138">
        <v>-167</v>
      </c>
      <c r="X119" s="138">
        <v>22</v>
      </c>
      <c r="Y119" s="139">
        <v>1635</v>
      </c>
      <c r="Z119" s="138">
        <v>1271</v>
      </c>
      <c r="AC119" s="139">
        <v>364</v>
      </c>
      <c r="AG119" s="139">
        <v>364</v>
      </c>
      <c r="AH119" s="139">
        <v>29</v>
      </c>
      <c r="AI119" s="139">
        <v>1576</v>
      </c>
      <c r="AJ119" s="176"/>
      <c r="AK119" s="139">
        <v>-219</v>
      </c>
      <c r="AL119" s="151">
        <v>-524</v>
      </c>
      <c r="AM119" s="151">
        <v>43</v>
      </c>
      <c r="AN119" s="146">
        <v>14193</v>
      </c>
      <c r="AO119" s="139">
        <v>12851</v>
      </c>
      <c r="AP119" s="139">
        <v>638</v>
      </c>
      <c r="AQ119" s="139">
        <v>704</v>
      </c>
      <c r="AR119" s="114">
        <v>20.25</v>
      </c>
      <c r="AS119" s="152"/>
      <c r="AT119" s="138">
        <v>103</v>
      </c>
      <c r="AU119" s="191">
        <v>4772</v>
      </c>
      <c r="AV119" s="146"/>
      <c r="AW119" s="150">
        <v>-1.4935567010309279</v>
      </c>
      <c r="AX119" s="150">
        <v>49.1</v>
      </c>
      <c r="AY119" s="151">
        <v>-2654</v>
      </c>
      <c r="AZ119" s="152"/>
      <c r="BA119" s="152"/>
      <c r="BB119" s="152"/>
      <c r="BC119" s="150">
        <v>35</v>
      </c>
      <c r="BD119" s="151">
        <v>121</v>
      </c>
      <c r="BE119" s="151">
        <v>7</v>
      </c>
      <c r="BF119" s="154">
        <v>6490.779547359598</v>
      </c>
      <c r="BG119" s="146">
        <v>2619</v>
      </c>
      <c r="BH119" s="139">
        <v>4942</v>
      </c>
      <c r="BI119" s="139">
        <v>29467</v>
      </c>
      <c r="BJ119" s="139">
        <v>-24525</v>
      </c>
      <c r="BK119" s="146">
        <v>14629</v>
      </c>
      <c r="BL119" s="146">
        <v>8691</v>
      </c>
      <c r="BM119" s="160"/>
      <c r="BO119" s="138">
        <v>-149</v>
      </c>
      <c r="BP119" s="138">
        <v>17</v>
      </c>
      <c r="BQ119" s="139">
        <v>-1337</v>
      </c>
      <c r="BR119" s="138">
        <v>1298</v>
      </c>
      <c r="BU119" s="139">
        <v>-2635</v>
      </c>
      <c r="BY119" s="138">
        <v>-2635</v>
      </c>
      <c r="BZ119" s="139">
        <v>-2607</v>
      </c>
      <c r="CA119" s="139">
        <v>-1346</v>
      </c>
      <c r="CB119" s="176"/>
      <c r="CC119" s="139">
        <v>133</v>
      </c>
      <c r="CD119" s="151">
        <v>-598</v>
      </c>
      <c r="CE119" s="151">
        <v>-1946</v>
      </c>
      <c r="CF119" s="138">
        <v>14629</v>
      </c>
      <c r="CG119" s="139">
        <v>13312</v>
      </c>
      <c r="CH119" s="139">
        <v>367</v>
      </c>
      <c r="CI119" s="139">
        <v>950</v>
      </c>
      <c r="CJ119" s="114">
        <v>20.75</v>
      </c>
      <c r="CK119" s="152"/>
      <c r="CL119" s="138">
        <v>314</v>
      </c>
      <c r="CM119" s="190">
        <v>4755</v>
      </c>
      <c r="CN119" s="146"/>
      <c r="CO119" s="150">
        <v>-0.5041322314049587</v>
      </c>
      <c r="CP119" s="150">
        <v>57.06518022023118</v>
      </c>
      <c r="CQ119" s="151">
        <v>-3016.614090431125</v>
      </c>
      <c r="CR119" s="152"/>
      <c r="CS119" s="152"/>
      <c r="CT119" s="152"/>
      <c r="CU119" s="150">
        <v>26.386825686515852</v>
      </c>
      <c r="CV119" s="151">
        <v>377.07676130389063</v>
      </c>
      <c r="CW119" s="151">
        <v>20.708318830490775</v>
      </c>
      <c r="CX119" s="154">
        <v>6646.267087276551</v>
      </c>
      <c r="CY119" s="146">
        <v>2357</v>
      </c>
      <c r="CZ119" s="139">
        <v>4951</v>
      </c>
      <c r="DA119" s="139">
        <v>29510</v>
      </c>
      <c r="DB119" s="139">
        <v>-24559</v>
      </c>
      <c r="DC119" s="146">
        <v>15358</v>
      </c>
      <c r="DD119" s="146">
        <v>8933</v>
      </c>
      <c r="DE119" s="160"/>
      <c r="DG119" s="138">
        <v>-98</v>
      </c>
      <c r="DH119" s="138">
        <v>-54</v>
      </c>
      <c r="DI119" s="139">
        <v>-420</v>
      </c>
      <c r="DJ119" s="138">
        <v>1226</v>
      </c>
      <c r="DM119" s="139">
        <v>-1646</v>
      </c>
      <c r="DQ119" s="138">
        <v>-1646</v>
      </c>
      <c r="DR119" s="139">
        <v>-4252</v>
      </c>
      <c r="DS119" s="139">
        <v>-513</v>
      </c>
      <c r="DT119" s="176"/>
      <c r="DU119" s="139">
        <v>81</v>
      </c>
      <c r="DV119" s="151">
        <v>-490</v>
      </c>
      <c r="DW119" s="138">
        <v>-1678</v>
      </c>
      <c r="DX119" s="138">
        <v>15358</v>
      </c>
      <c r="DY119" s="146">
        <v>13982</v>
      </c>
      <c r="DZ119" s="196">
        <v>416</v>
      </c>
      <c r="EA119" s="146">
        <v>960</v>
      </c>
      <c r="EB119" s="114">
        <v>20.75</v>
      </c>
      <c r="EC119" s="152"/>
      <c r="ED119" s="138">
        <v>291</v>
      </c>
      <c r="EE119" s="138">
        <v>23400</v>
      </c>
      <c r="EF119" s="138">
        <v>25571</v>
      </c>
      <c r="EG119" s="138">
        <v>25865</v>
      </c>
      <c r="EH119" s="138">
        <v>730</v>
      </c>
      <c r="EI119" s="138"/>
      <c r="EJ119" s="138">
        <v>620</v>
      </c>
      <c r="EK119" s="3">
        <v>-1809</v>
      </c>
      <c r="EL119" s="138">
        <v>212</v>
      </c>
      <c r="EM119" s="138">
        <v>64</v>
      </c>
      <c r="EN119" s="3">
        <v>-609</v>
      </c>
      <c r="EO119" s="138"/>
      <c r="EP119" s="138">
        <v>9</v>
      </c>
      <c r="EQ119" s="3">
        <v>-1404</v>
      </c>
      <c r="ER119" s="138">
        <v>135</v>
      </c>
      <c r="ES119" s="138">
        <v>104</v>
      </c>
      <c r="ET119" s="163">
        <v>1523</v>
      </c>
      <c r="EU119" s="163"/>
      <c r="EV119" s="138"/>
      <c r="EW119" s="138"/>
      <c r="EX119" s="138">
        <v>2158</v>
      </c>
      <c r="EY119" s="138">
        <v>1000</v>
      </c>
      <c r="EZ119" s="138">
        <v>10214</v>
      </c>
      <c r="FA119" s="138">
        <v>9616</v>
      </c>
      <c r="FB119" s="138">
        <v>598</v>
      </c>
      <c r="FC119" s="138">
        <v>906</v>
      </c>
      <c r="FD119" s="138">
        <v>9616</v>
      </c>
      <c r="FE119" s="138">
        <v>9125</v>
      </c>
      <c r="FF119" s="138">
        <v>491</v>
      </c>
      <c r="FG119" s="138">
        <v>913</v>
      </c>
      <c r="FH119" s="138">
        <v>12283</v>
      </c>
      <c r="FI119" s="138">
        <v>10685</v>
      </c>
      <c r="FJ119" s="138">
        <v>1598</v>
      </c>
      <c r="FK119" s="138">
        <v>862</v>
      </c>
      <c r="FL119" s="147">
        <v>2426</v>
      </c>
      <c r="FM119" s="147">
        <v>2300.2933780385583</v>
      </c>
      <c r="FO119" s="181">
        <f t="shared" si="3"/>
        <v>673.8313253012049</v>
      </c>
      <c r="FP119" s="179">
        <f t="shared" si="5"/>
        <v>141.71005789720397</v>
      </c>
      <c r="FR119" s="184"/>
      <c r="FV119" s="184">
        <v>524</v>
      </c>
      <c r="FW119" s="2">
        <f t="shared" si="4"/>
        <v>-524</v>
      </c>
    </row>
    <row r="120" spans="1:179" ht="12.75">
      <c r="A120" s="82">
        <v>317</v>
      </c>
      <c r="B120" s="80" t="s">
        <v>116</v>
      </c>
      <c r="C120" s="191">
        <v>2819</v>
      </c>
      <c r="D120" s="146"/>
      <c r="E120" s="150">
        <v>0.594188376753507</v>
      </c>
      <c r="F120" s="150">
        <v>81</v>
      </c>
      <c r="G120" s="151">
        <v>-1955</v>
      </c>
      <c r="H120" s="152"/>
      <c r="I120" s="152"/>
      <c r="J120" s="152"/>
      <c r="K120" s="150">
        <v>40.8</v>
      </c>
      <c r="L120" s="151">
        <v>2897</v>
      </c>
      <c r="M120" s="151">
        <v>135</v>
      </c>
      <c r="N120" s="154">
        <v>7808.797445902802</v>
      </c>
      <c r="O120" s="146">
        <v>4520</v>
      </c>
      <c r="P120" s="139">
        <v>1590</v>
      </c>
      <c r="Q120" s="139">
        <v>17938</v>
      </c>
      <c r="R120" s="139">
        <v>-16348</v>
      </c>
      <c r="S120" s="146">
        <v>6457</v>
      </c>
      <c r="T120" s="139">
        <v>10784</v>
      </c>
      <c r="U120" s="160"/>
      <c r="W120" s="138">
        <v>-289</v>
      </c>
      <c r="X120" s="138">
        <v>277</v>
      </c>
      <c r="Y120" s="139">
        <v>881</v>
      </c>
      <c r="Z120" s="138">
        <v>442</v>
      </c>
      <c r="AC120" s="139">
        <v>439</v>
      </c>
      <c r="AD120" s="138">
        <v>68</v>
      </c>
      <c r="AG120" s="139">
        <v>507</v>
      </c>
      <c r="AH120" s="139">
        <v>-571</v>
      </c>
      <c r="AI120" s="139">
        <v>698</v>
      </c>
      <c r="AJ120" s="176"/>
      <c r="AK120" s="138">
        <v>648</v>
      </c>
      <c r="AL120" s="151">
        <v>-1691</v>
      </c>
      <c r="AM120" s="151">
        <v>-1040</v>
      </c>
      <c r="AN120" s="146">
        <v>6457</v>
      </c>
      <c r="AO120" s="139">
        <v>5697</v>
      </c>
      <c r="AP120" s="139">
        <v>498</v>
      </c>
      <c r="AQ120" s="139">
        <v>262</v>
      </c>
      <c r="AR120" s="114">
        <v>20.75</v>
      </c>
      <c r="AS120" s="152"/>
      <c r="AT120" s="138">
        <v>119</v>
      </c>
      <c r="AU120" s="191">
        <v>2760</v>
      </c>
      <c r="AV120" s="146"/>
      <c r="AW120" s="150">
        <v>0.18341968911917098</v>
      </c>
      <c r="AX120" s="150">
        <v>84.7</v>
      </c>
      <c r="AY120" s="151">
        <v>-2159</v>
      </c>
      <c r="AZ120" s="152"/>
      <c r="BA120" s="152"/>
      <c r="BB120" s="152"/>
      <c r="BC120" s="150">
        <v>39.5</v>
      </c>
      <c r="BD120" s="151">
        <v>2889</v>
      </c>
      <c r="BE120" s="151">
        <v>137</v>
      </c>
      <c r="BF120" s="154">
        <v>7690.579710144927</v>
      </c>
      <c r="BG120" s="146">
        <v>4823</v>
      </c>
      <c r="BH120" s="139">
        <v>1672</v>
      </c>
      <c r="BI120" s="139">
        <v>18625</v>
      </c>
      <c r="BJ120" s="139">
        <v>-16953</v>
      </c>
      <c r="BK120" s="146">
        <v>6417</v>
      </c>
      <c r="BL120" s="146">
        <v>10232</v>
      </c>
      <c r="BM120" s="160"/>
      <c r="BO120" s="138">
        <v>-236</v>
      </c>
      <c r="BP120" s="138">
        <v>655</v>
      </c>
      <c r="BQ120" s="139">
        <v>115</v>
      </c>
      <c r="BR120" s="138">
        <v>531</v>
      </c>
      <c r="BU120" s="139">
        <v>-416</v>
      </c>
      <c r="BV120" s="138">
        <v>68</v>
      </c>
      <c r="BY120" s="138">
        <v>-348</v>
      </c>
      <c r="BZ120" s="139">
        <v>-918</v>
      </c>
      <c r="CA120" s="139">
        <v>115</v>
      </c>
      <c r="CB120" s="176"/>
      <c r="CC120" s="138">
        <v>2</v>
      </c>
      <c r="CD120" s="151">
        <v>-1691</v>
      </c>
      <c r="CE120" s="151">
        <v>-421</v>
      </c>
      <c r="CF120" s="138">
        <v>6417</v>
      </c>
      <c r="CG120" s="139">
        <v>5815</v>
      </c>
      <c r="CH120" s="139">
        <v>344</v>
      </c>
      <c r="CI120" s="139">
        <v>258</v>
      </c>
      <c r="CJ120" s="114">
        <v>20.75</v>
      </c>
      <c r="CK120" s="152"/>
      <c r="CL120" s="138">
        <v>225</v>
      </c>
      <c r="CM120" s="190">
        <v>2721</v>
      </c>
      <c r="CN120" s="146"/>
      <c r="CO120" s="150">
        <v>1.180731364275668</v>
      </c>
      <c r="CP120" s="150">
        <v>75.59801180490835</v>
      </c>
      <c r="CQ120" s="151">
        <v>-2224.5497978684307</v>
      </c>
      <c r="CR120" s="152"/>
      <c r="CS120" s="152"/>
      <c r="CT120" s="152"/>
      <c r="CU120" s="150">
        <v>40.59154929577465</v>
      </c>
      <c r="CV120" s="151">
        <v>2968.761484748254</v>
      </c>
      <c r="CW120" s="151">
        <v>139.57254437869824</v>
      </c>
      <c r="CX120" s="154">
        <v>7763.689819919147</v>
      </c>
      <c r="CY120" s="146">
        <v>4689</v>
      </c>
      <c r="CZ120" s="139">
        <v>2283</v>
      </c>
      <c r="DA120" s="139">
        <v>19122</v>
      </c>
      <c r="DB120" s="139">
        <v>-16839</v>
      </c>
      <c r="DC120" s="146">
        <v>6204</v>
      </c>
      <c r="DD120" s="146">
        <v>10827</v>
      </c>
      <c r="DE120" s="160"/>
      <c r="DG120" s="138">
        <v>-153</v>
      </c>
      <c r="DH120" s="138">
        <v>1485</v>
      </c>
      <c r="DI120" s="139">
        <v>1524</v>
      </c>
      <c r="DJ120" s="138">
        <v>492</v>
      </c>
      <c r="DL120" s="138">
        <v>1178</v>
      </c>
      <c r="DM120" s="139">
        <v>-146</v>
      </c>
      <c r="DN120" s="138">
        <v>54</v>
      </c>
      <c r="DP120" s="138">
        <v>3257</v>
      </c>
      <c r="DQ120" s="138">
        <v>3165</v>
      </c>
      <c r="DR120" s="139">
        <v>2246</v>
      </c>
      <c r="DS120" s="139">
        <v>246</v>
      </c>
      <c r="DT120" s="176"/>
      <c r="DU120" s="138">
        <v>1107</v>
      </c>
      <c r="DV120" s="151">
        <v>-1267</v>
      </c>
      <c r="DW120" s="138">
        <v>55</v>
      </c>
      <c r="DX120" s="138">
        <v>6204</v>
      </c>
      <c r="DY120" s="146">
        <v>5641</v>
      </c>
      <c r="DZ120" s="196">
        <v>365</v>
      </c>
      <c r="EA120" s="146">
        <v>198</v>
      </c>
      <c r="EB120" s="114">
        <v>20.75</v>
      </c>
      <c r="EC120" s="152"/>
      <c r="ED120" s="138">
        <v>42</v>
      </c>
      <c r="EE120" s="138">
        <v>12134</v>
      </c>
      <c r="EF120" s="138">
        <v>12354</v>
      </c>
      <c r="EG120" s="138">
        <v>13110</v>
      </c>
      <c r="EH120" s="138">
        <v>500</v>
      </c>
      <c r="EI120" s="138"/>
      <c r="EJ120" s="138">
        <v>360</v>
      </c>
      <c r="EK120" s="3">
        <v>-1940</v>
      </c>
      <c r="EL120" s="138"/>
      <c r="EM120" s="138">
        <v>202</v>
      </c>
      <c r="EN120" s="3">
        <v>-552</v>
      </c>
      <c r="EO120" s="138">
        <v>15</v>
      </c>
      <c r="EP120" s="138">
        <v>1</v>
      </c>
      <c r="EQ120" s="3">
        <v>-373</v>
      </c>
      <c r="ER120" s="138">
        <v>67</v>
      </c>
      <c r="ES120" s="138">
        <v>115</v>
      </c>
      <c r="ET120" s="163">
        <v>2950</v>
      </c>
      <c r="EU120" s="163"/>
      <c r="EV120" s="138">
        <v>1875</v>
      </c>
      <c r="EW120" s="138"/>
      <c r="EX120" s="138"/>
      <c r="EY120" s="138">
        <v>700</v>
      </c>
      <c r="EZ120" s="138">
        <v>12822</v>
      </c>
      <c r="FA120" s="138">
        <v>11131</v>
      </c>
      <c r="FB120" s="138">
        <v>1691</v>
      </c>
      <c r="FC120" s="138">
        <v>120</v>
      </c>
      <c r="FD120" s="138">
        <v>13006</v>
      </c>
      <c r="FE120" s="138">
        <v>11739</v>
      </c>
      <c r="FF120" s="138">
        <v>1267</v>
      </c>
      <c r="FG120" s="138">
        <v>120</v>
      </c>
      <c r="FH120" s="138">
        <v>12439</v>
      </c>
      <c r="FI120" s="138">
        <v>10527</v>
      </c>
      <c r="FJ120" s="138">
        <v>1912</v>
      </c>
      <c r="FK120" s="138">
        <v>270</v>
      </c>
      <c r="FL120" s="147">
        <v>6475</v>
      </c>
      <c r="FM120" s="147">
        <v>7487.68115942029</v>
      </c>
      <c r="FO120" s="181">
        <f t="shared" si="3"/>
        <v>271.855421686747</v>
      </c>
      <c r="FP120" s="179">
        <f t="shared" si="5"/>
        <v>99.91011454860234</v>
      </c>
      <c r="FR120" s="184"/>
      <c r="FV120" s="184">
        <v>1691</v>
      </c>
      <c r="FW120" s="2">
        <f t="shared" si="4"/>
        <v>-1691</v>
      </c>
    </row>
    <row r="121" spans="1:179" ht="12.75">
      <c r="A121" s="82">
        <v>319</v>
      </c>
      <c r="B121" s="80" t="s">
        <v>117</v>
      </c>
      <c r="C121" s="191">
        <v>2804</v>
      </c>
      <c r="D121" s="146"/>
      <c r="E121" s="150">
        <v>-0.06878306878306878</v>
      </c>
      <c r="F121" s="150">
        <v>24.9</v>
      </c>
      <c r="G121" s="151">
        <v>-1005</v>
      </c>
      <c r="H121" s="152"/>
      <c r="I121" s="152"/>
      <c r="J121" s="152"/>
      <c r="K121" s="150">
        <v>59.6</v>
      </c>
      <c r="L121" s="151">
        <v>135</v>
      </c>
      <c r="M121" s="151">
        <v>9</v>
      </c>
      <c r="N121" s="154">
        <v>5527.4607703281035</v>
      </c>
      <c r="O121" s="146">
        <v>4183</v>
      </c>
      <c r="P121" s="139">
        <v>1261</v>
      </c>
      <c r="Q121" s="139">
        <v>14767</v>
      </c>
      <c r="R121" s="139">
        <v>-13506</v>
      </c>
      <c r="S121" s="146">
        <v>8230</v>
      </c>
      <c r="T121" s="139">
        <v>5223</v>
      </c>
      <c r="U121" s="160"/>
      <c r="W121" s="138">
        <v>-27</v>
      </c>
      <c r="X121" s="138">
        <v>36</v>
      </c>
      <c r="Y121" s="139">
        <v>-44</v>
      </c>
      <c r="Z121" s="138">
        <v>325</v>
      </c>
      <c r="AC121" s="139">
        <v>-369</v>
      </c>
      <c r="AD121" s="139"/>
      <c r="AE121" s="138">
        <v>35</v>
      </c>
      <c r="AG121" s="139">
        <v>-334</v>
      </c>
      <c r="AH121" s="139">
        <v>-744</v>
      </c>
      <c r="AI121" s="139">
        <v>-151</v>
      </c>
      <c r="AJ121" s="176"/>
      <c r="AK121" s="139">
        <v>191</v>
      </c>
      <c r="AL121" s="151">
        <v>-158</v>
      </c>
      <c r="AM121" s="151">
        <v>-386</v>
      </c>
      <c r="AN121" s="146">
        <v>8230</v>
      </c>
      <c r="AO121" s="139">
        <v>7282</v>
      </c>
      <c r="AP121" s="139">
        <v>530</v>
      </c>
      <c r="AQ121" s="139">
        <v>418</v>
      </c>
      <c r="AR121" s="114">
        <v>20</v>
      </c>
      <c r="AS121" s="152"/>
      <c r="AT121" s="138">
        <v>289</v>
      </c>
      <c r="AU121" s="191">
        <v>2750</v>
      </c>
      <c r="AV121" s="146"/>
      <c r="AW121" s="150">
        <v>-1.0621761658031088</v>
      </c>
      <c r="AX121" s="150">
        <v>28.7</v>
      </c>
      <c r="AY121" s="151">
        <v>-1223</v>
      </c>
      <c r="AZ121" s="152"/>
      <c r="BA121" s="152"/>
      <c r="BB121" s="152"/>
      <c r="BC121" s="150">
        <v>52.7</v>
      </c>
      <c r="BD121" s="151">
        <v>119</v>
      </c>
      <c r="BE121" s="151">
        <v>8</v>
      </c>
      <c r="BF121" s="154">
        <v>5750.545454545454</v>
      </c>
      <c r="BG121" s="146">
        <v>4301</v>
      </c>
      <c r="BH121" s="139">
        <v>1220</v>
      </c>
      <c r="BI121" s="139">
        <v>15286</v>
      </c>
      <c r="BJ121" s="139">
        <v>-14066</v>
      </c>
      <c r="BK121" s="146">
        <v>8408</v>
      </c>
      <c r="BL121" s="146">
        <v>5422</v>
      </c>
      <c r="BM121" s="160"/>
      <c r="BO121" s="138">
        <v>-31</v>
      </c>
      <c r="BP121" s="138">
        <v>27</v>
      </c>
      <c r="BQ121" s="139">
        <v>-240</v>
      </c>
      <c r="BR121" s="138">
        <v>333</v>
      </c>
      <c r="BU121" s="139">
        <v>-573</v>
      </c>
      <c r="BV121" s="139"/>
      <c r="BW121" s="138">
        <v>11</v>
      </c>
      <c r="BY121" s="138">
        <v>-562</v>
      </c>
      <c r="BZ121" s="139">
        <v>-1308</v>
      </c>
      <c r="CA121" s="139">
        <v>-248</v>
      </c>
      <c r="CB121" s="176"/>
      <c r="CC121" s="139">
        <v>-171</v>
      </c>
      <c r="CD121" s="151">
        <v>-158</v>
      </c>
      <c r="CE121" s="151">
        <v>-559</v>
      </c>
      <c r="CF121" s="138">
        <v>8408</v>
      </c>
      <c r="CG121" s="139">
        <v>7598</v>
      </c>
      <c r="CH121" s="139">
        <v>390</v>
      </c>
      <c r="CI121" s="139">
        <v>420</v>
      </c>
      <c r="CJ121" s="114">
        <v>20</v>
      </c>
      <c r="CK121" s="152"/>
      <c r="CL121" s="138">
        <v>280</v>
      </c>
      <c r="CM121" s="190">
        <v>2688</v>
      </c>
      <c r="CN121" s="146"/>
      <c r="CO121" s="150">
        <v>2.9491525423728815</v>
      </c>
      <c r="CP121" s="150">
        <v>28.522090447022027</v>
      </c>
      <c r="CQ121" s="151">
        <v>-1239.955357142857</v>
      </c>
      <c r="CR121" s="152"/>
      <c r="CS121" s="152"/>
      <c r="CT121" s="152"/>
      <c r="CU121" s="150">
        <v>53.22494952714908</v>
      </c>
      <c r="CV121" s="151">
        <v>157.36607142857142</v>
      </c>
      <c r="CW121" s="151">
        <v>9.913001605136436</v>
      </c>
      <c r="CX121" s="154">
        <v>5794.270833333333</v>
      </c>
      <c r="CY121" s="146">
        <v>4474</v>
      </c>
      <c r="CZ121" s="139">
        <v>1262</v>
      </c>
      <c r="DA121" s="139">
        <v>14886</v>
      </c>
      <c r="DB121" s="139">
        <v>-13624</v>
      </c>
      <c r="DC121" s="146">
        <v>8912</v>
      </c>
      <c r="DD121" s="146">
        <v>5172</v>
      </c>
      <c r="DE121" s="160"/>
      <c r="DG121" s="138">
        <v>-17</v>
      </c>
      <c r="DH121" s="138">
        <v>60</v>
      </c>
      <c r="DI121" s="139">
        <v>503</v>
      </c>
      <c r="DJ121" s="138">
        <v>352</v>
      </c>
      <c r="DM121" s="139">
        <v>151</v>
      </c>
      <c r="DN121" s="139"/>
      <c r="DQ121" s="138">
        <v>151</v>
      </c>
      <c r="DR121" s="139">
        <v>-1157</v>
      </c>
      <c r="DS121" s="139">
        <v>472</v>
      </c>
      <c r="DT121" s="176"/>
      <c r="DU121" s="139">
        <v>15</v>
      </c>
      <c r="DV121" s="151">
        <v>-158</v>
      </c>
      <c r="DW121" s="138">
        <v>216</v>
      </c>
      <c r="DX121" s="138">
        <v>8912</v>
      </c>
      <c r="DY121" s="146">
        <v>8084</v>
      </c>
      <c r="DZ121" s="196">
        <v>370</v>
      </c>
      <c r="EA121" s="146">
        <v>458</v>
      </c>
      <c r="EB121" s="114">
        <v>20.5</v>
      </c>
      <c r="EC121" s="152"/>
      <c r="ED121" s="138">
        <v>208</v>
      </c>
      <c r="EE121" s="138">
        <v>9028</v>
      </c>
      <c r="EF121" s="138">
        <v>9449</v>
      </c>
      <c r="EG121" s="138">
        <v>8901</v>
      </c>
      <c r="EH121" s="138"/>
      <c r="EI121" s="138"/>
      <c r="EJ121" s="138"/>
      <c r="EK121" s="3">
        <v>-535</v>
      </c>
      <c r="EL121" s="138"/>
      <c r="EM121" s="138">
        <v>300</v>
      </c>
      <c r="EN121" s="3">
        <v>-332</v>
      </c>
      <c r="EO121" s="138">
        <v>9</v>
      </c>
      <c r="EP121" s="138">
        <v>12</v>
      </c>
      <c r="EQ121" s="3">
        <v>-318</v>
      </c>
      <c r="ER121" s="138">
        <v>24</v>
      </c>
      <c r="ES121" s="138">
        <v>38</v>
      </c>
      <c r="ET121" s="163"/>
      <c r="EU121" s="163">
        <v>800</v>
      </c>
      <c r="EV121" s="138"/>
      <c r="EW121" s="138">
        <v>700</v>
      </c>
      <c r="EX121" s="138"/>
      <c r="EY121" s="138">
        <v>500</v>
      </c>
      <c r="EZ121" s="138">
        <v>2089</v>
      </c>
      <c r="FA121" s="138">
        <v>1131</v>
      </c>
      <c r="FB121" s="138">
        <v>958</v>
      </c>
      <c r="FC121" s="138">
        <v>246</v>
      </c>
      <c r="FD121" s="138">
        <v>2632</v>
      </c>
      <c r="FE121" s="138">
        <v>974</v>
      </c>
      <c r="FF121" s="138">
        <v>1658</v>
      </c>
      <c r="FG121" s="138">
        <v>237</v>
      </c>
      <c r="FH121" s="138">
        <v>2974</v>
      </c>
      <c r="FI121" s="138">
        <v>816</v>
      </c>
      <c r="FJ121" s="138">
        <v>2158</v>
      </c>
      <c r="FK121" s="138">
        <v>428</v>
      </c>
      <c r="FL121" s="147">
        <v>2306</v>
      </c>
      <c r="FM121" s="147">
        <v>2485.818181818182</v>
      </c>
      <c r="FO121" s="181">
        <f t="shared" si="3"/>
        <v>394.3414634146341</v>
      </c>
      <c r="FP121" s="179">
        <f t="shared" si="5"/>
        <v>146.70441347270616</v>
      </c>
      <c r="FR121" s="184"/>
      <c r="FV121" s="184">
        <v>158</v>
      </c>
      <c r="FW121" s="2">
        <f t="shared" si="4"/>
        <v>-158</v>
      </c>
    </row>
    <row r="122" spans="1:179" ht="12.75">
      <c r="A122" s="82">
        <v>398</v>
      </c>
      <c r="B122" s="80" t="s">
        <v>119</v>
      </c>
      <c r="C122" s="191">
        <v>102308</v>
      </c>
      <c r="D122" s="146"/>
      <c r="E122" s="150">
        <v>1.8645258404415455</v>
      </c>
      <c r="F122" s="150">
        <v>78.1</v>
      </c>
      <c r="G122" s="151">
        <v>-2944</v>
      </c>
      <c r="H122" s="152"/>
      <c r="I122" s="152"/>
      <c r="J122" s="152"/>
      <c r="K122" s="150">
        <v>54.4</v>
      </c>
      <c r="L122" s="151">
        <v>846</v>
      </c>
      <c r="M122" s="151">
        <v>45</v>
      </c>
      <c r="N122" s="154">
        <v>5679.00848418501</v>
      </c>
      <c r="O122" s="146">
        <v>256744</v>
      </c>
      <c r="P122" s="139">
        <v>96767</v>
      </c>
      <c r="Q122" s="139">
        <v>562611</v>
      </c>
      <c r="R122" s="139">
        <v>-465844</v>
      </c>
      <c r="S122" s="146">
        <v>341849</v>
      </c>
      <c r="T122" s="139">
        <v>140606</v>
      </c>
      <c r="U122" s="160"/>
      <c r="W122" s="138">
        <v>1050</v>
      </c>
      <c r="X122" s="138">
        <v>19404</v>
      </c>
      <c r="Y122" s="139">
        <v>37065</v>
      </c>
      <c r="Z122" s="138">
        <v>31477</v>
      </c>
      <c r="AC122" s="139">
        <v>5588</v>
      </c>
      <c r="AD122" s="138">
        <v>295</v>
      </c>
      <c r="AF122" s="138">
        <v>695</v>
      </c>
      <c r="AG122" s="139">
        <v>6578</v>
      </c>
      <c r="AH122" s="139">
        <v>125635</v>
      </c>
      <c r="AI122" s="139">
        <v>34092</v>
      </c>
      <c r="AJ122" s="176"/>
      <c r="AK122" s="138">
        <v>-29386</v>
      </c>
      <c r="AL122" s="151">
        <v>-19835</v>
      </c>
      <c r="AM122" s="151">
        <v>-8709</v>
      </c>
      <c r="AN122" s="146">
        <v>341849</v>
      </c>
      <c r="AO122" s="139">
        <v>293064</v>
      </c>
      <c r="AP122" s="139">
        <v>23807</v>
      </c>
      <c r="AQ122" s="139">
        <v>24978</v>
      </c>
      <c r="AR122" s="114">
        <v>19.5</v>
      </c>
      <c r="AS122" s="152"/>
      <c r="AT122" s="138">
        <v>91</v>
      </c>
      <c r="AU122" s="191">
        <v>103016</v>
      </c>
      <c r="AV122" s="146"/>
      <c r="AW122" s="150">
        <v>1.4510855844483717</v>
      </c>
      <c r="AX122" s="150">
        <v>87.8</v>
      </c>
      <c r="AY122" s="151">
        <v>-3571</v>
      </c>
      <c r="AZ122" s="152"/>
      <c r="BA122" s="152"/>
      <c r="BB122" s="152"/>
      <c r="BC122" s="150">
        <v>50.7</v>
      </c>
      <c r="BD122" s="151">
        <v>547</v>
      </c>
      <c r="BE122" s="151">
        <v>27</v>
      </c>
      <c r="BF122" s="154">
        <v>7302.884988739614</v>
      </c>
      <c r="BG122" s="146">
        <v>266366</v>
      </c>
      <c r="BH122" s="139">
        <v>105122</v>
      </c>
      <c r="BI122" s="139">
        <v>601372</v>
      </c>
      <c r="BJ122" s="139">
        <v>-496250</v>
      </c>
      <c r="BK122" s="146">
        <v>351729</v>
      </c>
      <c r="BL122" s="146">
        <v>149883</v>
      </c>
      <c r="BM122" s="160"/>
      <c r="BO122" s="138">
        <v>176</v>
      </c>
      <c r="BP122" s="138">
        <v>28871</v>
      </c>
      <c r="BQ122" s="139">
        <v>34409</v>
      </c>
      <c r="BR122" s="138">
        <v>30426</v>
      </c>
      <c r="BU122" s="139">
        <v>3983</v>
      </c>
      <c r="BV122" s="138">
        <v>285</v>
      </c>
      <c r="BX122" s="138">
        <v>345</v>
      </c>
      <c r="BY122" s="138">
        <v>4613</v>
      </c>
      <c r="BZ122" s="139">
        <v>130248</v>
      </c>
      <c r="CA122" s="139">
        <v>26314</v>
      </c>
      <c r="CB122" s="176"/>
      <c r="CC122" s="138">
        <v>-43826</v>
      </c>
      <c r="CD122" s="151">
        <v>-20115</v>
      </c>
      <c r="CE122" s="151">
        <v>-15124</v>
      </c>
      <c r="CF122" s="138">
        <v>351729</v>
      </c>
      <c r="CG122" s="139">
        <v>306765</v>
      </c>
      <c r="CH122" s="139">
        <v>19602</v>
      </c>
      <c r="CI122" s="139">
        <v>25362</v>
      </c>
      <c r="CJ122" s="114">
        <v>19.5</v>
      </c>
      <c r="CK122" s="152"/>
      <c r="CL122" s="138">
        <v>58</v>
      </c>
      <c r="CM122" s="190">
        <v>103364</v>
      </c>
      <c r="CN122" s="146"/>
      <c r="CO122" s="150">
        <v>0.5551146660001249</v>
      </c>
      <c r="CP122" s="150">
        <v>103.34395791329642</v>
      </c>
      <c r="CQ122" s="151">
        <v>-4589.915250957781</v>
      </c>
      <c r="CR122" s="152"/>
      <c r="CS122" s="152"/>
      <c r="CT122" s="152"/>
      <c r="CU122" s="150">
        <v>44.57543103087485</v>
      </c>
      <c r="CV122" s="151">
        <v>663.7030300684959</v>
      </c>
      <c r="CW122" s="151">
        <v>31.569604788879072</v>
      </c>
      <c r="CX122" s="154">
        <v>7673.571069231067</v>
      </c>
      <c r="CY122" s="146">
        <v>275435</v>
      </c>
      <c r="CZ122" s="139">
        <v>104213</v>
      </c>
      <c r="DA122" s="139">
        <v>629552</v>
      </c>
      <c r="DB122" s="139">
        <v>-525339</v>
      </c>
      <c r="DC122" s="146">
        <v>373414</v>
      </c>
      <c r="DD122" s="146">
        <v>151233</v>
      </c>
      <c r="DE122" s="160"/>
      <c r="DG122" s="138">
        <v>44</v>
      </c>
      <c r="DH122" s="138">
        <v>7465</v>
      </c>
      <c r="DI122" s="139">
        <v>6817</v>
      </c>
      <c r="DJ122" s="138">
        <v>36838</v>
      </c>
      <c r="DM122" s="139">
        <v>-30021</v>
      </c>
      <c r="DN122" s="138">
        <v>617</v>
      </c>
      <c r="DP122" s="138">
        <v>577</v>
      </c>
      <c r="DQ122" s="138">
        <v>-28827</v>
      </c>
      <c r="DR122" s="139">
        <v>101421</v>
      </c>
      <c r="DS122" s="139">
        <v>4926</v>
      </c>
      <c r="DT122" s="176"/>
      <c r="DU122" s="138">
        <v>1199</v>
      </c>
      <c r="DV122" s="151">
        <v>-21056</v>
      </c>
      <c r="DW122" s="138">
        <v>-46094</v>
      </c>
      <c r="DX122" s="138">
        <v>373414</v>
      </c>
      <c r="DY122" s="146">
        <v>325137</v>
      </c>
      <c r="DZ122" s="196">
        <v>21160</v>
      </c>
      <c r="EA122" s="146">
        <v>27117</v>
      </c>
      <c r="EB122" s="114">
        <v>19.5</v>
      </c>
      <c r="EC122" s="152"/>
      <c r="ED122" s="138">
        <v>256</v>
      </c>
      <c r="EE122" s="138">
        <v>223380</v>
      </c>
      <c r="EF122" s="138">
        <v>243090</v>
      </c>
      <c r="EG122" s="138">
        <v>254158</v>
      </c>
      <c r="EH122" s="138"/>
      <c r="EI122" s="138"/>
      <c r="EJ122" s="138"/>
      <c r="EK122" s="3">
        <v>-53479</v>
      </c>
      <c r="EL122" s="138">
        <v>1855</v>
      </c>
      <c r="EM122" s="138">
        <v>8823</v>
      </c>
      <c r="EN122" s="3">
        <v>-53002</v>
      </c>
      <c r="EO122" s="138">
        <v>1492</v>
      </c>
      <c r="EP122" s="138">
        <v>10072</v>
      </c>
      <c r="EQ122" s="3">
        <v>-53404</v>
      </c>
      <c r="ER122" s="138">
        <v>1049</v>
      </c>
      <c r="ES122" s="138">
        <v>1335</v>
      </c>
      <c r="ET122" s="163">
        <v>60129</v>
      </c>
      <c r="EU122" s="163">
        <v>-1386</v>
      </c>
      <c r="EV122" s="138">
        <v>70003</v>
      </c>
      <c r="EW122" s="138">
        <v>22375</v>
      </c>
      <c r="EX122" s="138">
        <v>90006</v>
      </c>
      <c r="EY122" s="138">
        <v>38373</v>
      </c>
      <c r="EZ122" s="138">
        <v>379844</v>
      </c>
      <c r="FA122" s="138">
        <v>335281</v>
      </c>
      <c r="FB122" s="138">
        <v>44563</v>
      </c>
      <c r="FC122" s="138">
        <v>261632</v>
      </c>
      <c r="FD122" s="138">
        <v>452107</v>
      </c>
      <c r="FE122" s="138">
        <v>384149</v>
      </c>
      <c r="FF122" s="138">
        <v>67958</v>
      </c>
      <c r="FG122" s="138">
        <v>313013</v>
      </c>
      <c r="FH122" s="138">
        <v>559430</v>
      </c>
      <c r="FI122" s="138">
        <v>426009</v>
      </c>
      <c r="FJ122" s="138">
        <v>133421</v>
      </c>
      <c r="FK122" s="138">
        <v>372110</v>
      </c>
      <c r="FL122" s="147">
        <v>6352</v>
      </c>
      <c r="FM122" s="147">
        <v>6871.117108022056</v>
      </c>
      <c r="FO122" s="181">
        <f t="shared" si="3"/>
        <v>16673.69230769231</v>
      </c>
      <c r="FP122" s="179">
        <f t="shared" si="5"/>
        <v>161.3104398793807</v>
      </c>
      <c r="FR122" s="184"/>
      <c r="FV122" s="184">
        <v>19835</v>
      </c>
      <c r="FW122" s="2">
        <f t="shared" si="4"/>
        <v>-19835</v>
      </c>
    </row>
    <row r="123" spans="1:179" ht="12.75">
      <c r="A123" s="82">
        <v>399</v>
      </c>
      <c r="B123" s="80" t="s">
        <v>120</v>
      </c>
      <c r="C123" s="191">
        <v>7933</v>
      </c>
      <c r="D123" s="146"/>
      <c r="E123" s="150">
        <v>0.12003872216844143</v>
      </c>
      <c r="F123" s="150">
        <v>27.4</v>
      </c>
      <c r="G123" s="151">
        <v>-1144</v>
      </c>
      <c r="H123" s="152"/>
      <c r="I123" s="152"/>
      <c r="J123" s="152"/>
      <c r="K123" s="150">
        <v>66.2</v>
      </c>
      <c r="L123" s="151">
        <v>62</v>
      </c>
      <c r="M123" s="151">
        <v>4</v>
      </c>
      <c r="N123" s="154">
        <v>5705.407790243288</v>
      </c>
      <c r="O123" s="146">
        <v>16031</v>
      </c>
      <c r="P123" s="139">
        <v>6210</v>
      </c>
      <c r="Q123" s="139">
        <v>42993</v>
      </c>
      <c r="R123" s="139">
        <v>-36783</v>
      </c>
      <c r="S123" s="146">
        <v>23689</v>
      </c>
      <c r="T123" s="139">
        <v>13057</v>
      </c>
      <c r="U123" s="160"/>
      <c r="W123" s="138">
        <v>-132</v>
      </c>
      <c r="X123" s="138">
        <v>186</v>
      </c>
      <c r="Y123" s="139">
        <v>17</v>
      </c>
      <c r="Z123" s="138">
        <v>1429</v>
      </c>
      <c r="AB123" s="138">
        <v>101</v>
      </c>
      <c r="AC123" s="139">
        <v>-1513</v>
      </c>
      <c r="AD123" s="139">
        <v>103</v>
      </c>
      <c r="AF123" s="139"/>
      <c r="AG123" s="139">
        <v>-1410</v>
      </c>
      <c r="AH123" s="139">
        <v>3463</v>
      </c>
      <c r="AI123" s="139">
        <v>-214</v>
      </c>
      <c r="AJ123" s="176"/>
      <c r="AK123" s="139">
        <v>-494</v>
      </c>
      <c r="AL123" s="151">
        <v>-926</v>
      </c>
      <c r="AM123" s="151">
        <v>-3700</v>
      </c>
      <c r="AN123" s="146">
        <v>23689</v>
      </c>
      <c r="AO123" s="139">
        <v>21592</v>
      </c>
      <c r="AP123" s="139">
        <v>1316</v>
      </c>
      <c r="AQ123" s="139">
        <v>781</v>
      </c>
      <c r="AR123" s="114">
        <v>19.5</v>
      </c>
      <c r="AS123" s="152"/>
      <c r="AT123" s="138">
        <v>285</v>
      </c>
      <c r="AU123" s="191">
        <v>7993</v>
      </c>
      <c r="AV123" s="146"/>
      <c r="AW123" s="150">
        <v>0.6013824884792627</v>
      </c>
      <c r="AX123" s="150">
        <v>30.8</v>
      </c>
      <c r="AY123" s="151">
        <v>-1528</v>
      </c>
      <c r="AZ123" s="152"/>
      <c r="BA123" s="152"/>
      <c r="BB123" s="152"/>
      <c r="BC123" s="150">
        <v>61.3</v>
      </c>
      <c r="BD123" s="151">
        <v>13</v>
      </c>
      <c r="BE123" s="151">
        <v>1</v>
      </c>
      <c r="BF123" s="154">
        <v>6356.687101213562</v>
      </c>
      <c r="BG123" s="146">
        <v>16830</v>
      </c>
      <c r="BH123" s="139">
        <v>6581</v>
      </c>
      <c r="BI123" s="139">
        <v>45726</v>
      </c>
      <c r="BJ123" s="139">
        <v>-39145</v>
      </c>
      <c r="BK123" s="146">
        <v>25801</v>
      </c>
      <c r="BL123" s="146">
        <v>14013</v>
      </c>
      <c r="BM123" s="160"/>
      <c r="BO123" s="138">
        <v>-127</v>
      </c>
      <c r="BP123" s="138">
        <v>82</v>
      </c>
      <c r="BQ123" s="139">
        <v>624</v>
      </c>
      <c r="BR123" s="138">
        <v>1502</v>
      </c>
      <c r="BU123" s="139">
        <v>-878</v>
      </c>
      <c r="BV123" s="139">
        <v>103</v>
      </c>
      <c r="BX123" s="139"/>
      <c r="BY123" s="138">
        <v>-775</v>
      </c>
      <c r="BZ123" s="139">
        <v>2580</v>
      </c>
      <c r="CA123" s="139">
        <v>154</v>
      </c>
      <c r="CB123" s="176"/>
      <c r="CC123" s="139">
        <v>227</v>
      </c>
      <c r="CD123" s="151">
        <v>-1143</v>
      </c>
      <c r="CE123" s="151">
        <v>-3093</v>
      </c>
      <c r="CF123" s="138">
        <v>25801</v>
      </c>
      <c r="CG123" s="139">
        <v>23625</v>
      </c>
      <c r="CH123" s="139">
        <v>1008</v>
      </c>
      <c r="CI123" s="139">
        <v>1168</v>
      </c>
      <c r="CJ123" s="114">
        <v>19.75</v>
      </c>
      <c r="CK123" s="152"/>
      <c r="CL123" s="138">
        <v>205</v>
      </c>
      <c r="CM123" s="190">
        <v>8007</v>
      </c>
      <c r="CN123" s="146"/>
      <c r="CO123" s="150">
        <v>-0.43314285714285716</v>
      </c>
      <c r="CP123" s="150">
        <v>42.11502396332569</v>
      </c>
      <c r="CQ123" s="151">
        <v>-2158.2365430248533</v>
      </c>
      <c r="CR123" s="152"/>
      <c r="CS123" s="152"/>
      <c r="CT123" s="152"/>
      <c r="CU123" s="150">
        <v>49.90075806490184</v>
      </c>
      <c r="CV123" s="151">
        <v>73.56063444486074</v>
      </c>
      <c r="CW123" s="151">
        <v>3.9228691859934677</v>
      </c>
      <c r="CX123" s="154">
        <v>6844.386162108155</v>
      </c>
      <c r="CY123" s="146">
        <v>17281</v>
      </c>
      <c r="CZ123" s="139">
        <v>7079</v>
      </c>
      <c r="DA123" s="139">
        <v>48827</v>
      </c>
      <c r="DB123" s="139">
        <v>-41748</v>
      </c>
      <c r="DC123" s="146">
        <v>26922</v>
      </c>
      <c r="DD123" s="146">
        <v>13989</v>
      </c>
      <c r="DE123" s="160"/>
      <c r="DG123" s="138">
        <v>-138</v>
      </c>
      <c r="DH123" s="138">
        <v>61</v>
      </c>
      <c r="DI123" s="139">
        <v>-914</v>
      </c>
      <c r="DJ123" s="138">
        <v>1886</v>
      </c>
      <c r="DL123" s="138">
        <v>119</v>
      </c>
      <c r="DM123" s="139">
        <v>-2919</v>
      </c>
      <c r="DN123" s="139">
        <v>102</v>
      </c>
      <c r="DP123" s="139"/>
      <c r="DQ123" s="138">
        <v>-2817</v>
      </c>
      <c r="DR123" s="139">
        <v>-237</v>
      </c>
      <c r="DS123" s="139">
        <v>-1174</v>
      </c>
      <c r="DT123" s="176"/>
      <c r="DU123" s="139">
        <v>-361</v>
      </c>
      <c r="DV123" s="151">
        <v>-1593</v>
      </c>
      <c r="DW123" s="138">
        <v>-5133</v>
      </c>
      <c r="DX123" s="138">
        <v>26922</v>
      </c>
      <c r="DY123" s="146">
        <v>24598</v>
      </c>
      <c r="DZ123" s="196">
        <v>1106</v>
      </c>
      <c r="EA123" s="146">
        <v>1218</v>
      </c>
      <c r="EB123" s="114">
        <v>20</v>
      </c>
      <c r="EC123" s="152"/>
      <c r="ED123" s="138">
        <v>296</v>
      </c>
      <c r="EE123" s="138">
        <v>22339</v>
      </c>
      <c r="EF123" s="138">
        <v>23924</v>
      </c>
      <c r="EG123" s="138">
        <v>25977</v>
      </c>
      <c r="EH123" s="138"/>
      <c r="EI123" s="138"/>
      <c r="EJ123" s="138"/>
      <c r="EK123" s="3">
        <v>-3904</v>
      </c>
      <c r="EL123" s="138">
        <v>98</v>
      </c>
      <c r="EM123" s="138">
        <v>320</v>
      </c>
      <c r="EN123" s="3">
        <v>-3775</v>
      </c>
      <c r="EO123" s="138">
        <v>74</v>
      </c>
      <c r="EP123" s="138">
        <v>454</v>
      </c>
      <c r="EQ123" s="3">
        <v>-4222</v>
      </c>
      <c r="ER123" s="138">
        <v>97</v>
      </c>
      <c r="ES123" s="138">
        <v>166</v>
      </c>
      <c r="ET123" s="163"/>
      <c r="EU123" s="163">
        <v>2300</v>
      </c>
      <c r="EV123" s="138">
        <v>3000</v>
      </c>
      <c r="EW123" s="138">
        <v>-122</v>
      </c>
      <c r="EX123" s="138">
        <v>4000</v>
      </c>
      <c r="EY123" s="138">
        <v>3523</v>
      </c>
      <c r="EZ123" s="138">
        <v>7264</v>
      </c>
      <c r="FA123" s="138">
        <v>4037</v>
      </c>
      <c r="FB123" s="138">
        <v>3227</v>
      </c>
      <c r="FC123" s="138">
        <v>1298</v>
      </c>
      <c r="FD123" s="138">
        <v>8998</v>
      </c>
      <c r="FE123" s="138">
        <v>5428</v>
      </c>
      <c r="FF123" s="138">
        <v>3570</v>
      </c>
      <c r="FG123" s="138">
        <v>1236</v>
      </c>
      <c r="FH123" s="138">
        <v>14929</v>
      </c>
      <c r="FI123" s="138">
        <v>7536</v>
      </c>
      <c r="FJ123" s="138">
        <v>7393</v>
      </c>
      <c r="FK123" s="138">
        <v>1175</v>
      </c>
      <c r="FL123" s="147">
        <v>1978</v>
      </c>
      <c r="FM123" s="147">
        <v>2146.002752408357</v>
      </c>
      <c r="FO123" s="181">
        <f t="shared" si="3"/>
        <v>1229.9</v>
      </c>
      <c r="FP123" s="179">
        <f t="shared" si="5"/>
        <v>153.60309728987136</v>
      </c>
      <c r="FR123" s="184"/>
      <c r="FV123" s="184">
        <v>926</v>
      </c>
      <c r="FW123" s="2">
        <f t="shared" si="4"/>
        <v>-926</v>
      </c>
    </row>
    <row r="124" spans="1:179" ht="12.75">
      <c r="A124" s="82">
        <v>400</v>
      </c>
      <c r="B124" s="80" t="s">
        <v>121</v>
      </c>
      <c r="C124" s="191">
        <v>8408</v>
      </c>
      <c r="D124" s="146"/>
      <c r="E124" s="150">
        <v>4.745974955277281</v>
      </c>
      <c r="F124" s="150">
        <v>29.9</v>
      </c>
      <c r="G124" s="151">
        <v>-1209</v>
      </c>
      <c r="H124" s="152"/>
      <c r="I124" s="152"/>
      <c r="J124" s="152"/>
      <c r="K124" s="150">
        <v>70.7</v>
      </c>
      <c r="L124" s="151">
        <v>9</v>
      </c>
      <c r="M124" s="151">
        <v>0</v>
      </c>
      <c r="N124" s="154">
        <v>7042.221693625119</v>
      </c>
      <c r="O124" s="146">
        <v>24270</v>
      </c>
      <c r="P124" s="139">
        <v>9645</v>
      </c>
      <c r="Q124" s="139">
        <v>49701</v>
      </c>
      <c r="R124" s="139">
        <v>-40056</v>
      </c>
      <c r="S124" s="146">
        <v>25183</v>
      </c>
      <c r="T124" s="139">
        <v>17008</v>
      </c>
      <c r="U124" s="160"/>
      <c r="W124" s="138">
        <v>-93</v>
      </c>
      <c r="X124" s="138">
        <v>323</v>
      </c>
      <c r="Y124" s="139">
        <v>2365</v>
      </c>
      <c r="Z124" s="138">
        <v>1704</v>
      </c>
      <c r="AA124" s="138">
        <v>82</v>
      </c>
      <c r="AB124" s="138">
        <v>62</v>
      </c>
      <c r="AC124" s="139">
        <v>681</v>
      </c>
      <c r="AD124" s="139">
        <v>-1024</v>
      </c>
      <c r="AF124" s="139">
        <v>1100</v>
      </c>
      <c r="AG124" s="139">
        <v>757</v>
      </c>
      <c r="AH124" s="139">
        <v>5429</v>
      </c>
      <c r="AI124" s="139">
        <v>2210</v>
      </c>
      <c r="AJ124" s="176"/>
      <c r="AK124" s="139">
        <v>153</v>
      </c>
      <c r="AL124" s="151">
        <v>-271</v>
      </c>
      <c r="AM124" s="151">
        <v>-2264</v>
      </c>
      <c r="AN124" s="146">
        <v>25183</v>
      </c>
      <c r="AO124" s="139">
        <v>21248</v>
      </c>
      <c r="AP124" s="139">
        <v>2618</v>
      </c>
      <c r="AQ124" s="139">
        <v>1317</v>
      </c>
      <c r="AR124" s="114">
        <v>19.75</v>
      </c>
      <c r="AS124" s="152"/>
      <c r="AT124" s="138">
        <v>137</v>
      </c>
      <c r="AU124" s="191">
        <v>8460</v>
      </c>
      <c r="AV124" s="146"/>
      <c r="AW124" s="150">
        <v>3.5652173913043477</v>
      </c>
      <c r="AX124" s="150">
        <v>32.3</v>
      </c>
      <c r="AY124" s="151">
        <v>-1403</v>
      </c>
      <c r="AZ124" s="152"/>
      <c r="BA124" s="152"/>
      <c r="BB124" s="152"/>
      <c r="BC124" s="150">
        <v>67.8</v>
      </c>
      <c r="BD124" s="151">
        <v>2</v>
      </c>
      <c r="BE124" s="151">
        <v>0</v>
      </c>
      <c r="BF124" s="154">
        <v>6636.524822695035</v>
      </c>
      <c r="BG124" s="146">
        <v>25772</v>
      </c>
      <c r="BH124" s="139">
        <v>9938</v>
      </c>
      <c r="BI124" s="139">
        <v>52736</v>
      </c>
      <c r="BJ124" s="139">
        <v>-42798</v>
      </c>
      <c r="BK124" s="146">
        <v>26071</v>
      </c>
      <c r="BL124" s="146">
        <v>17948</v>
      </c>
      <c r="BM124" s="160"/>
      <c r="BO124" s="138">
        <v>-45</v>
      </c>
      <c r="BP124" s="138">
        <v>89</v>
      </c>
      <c r="BQ124" s="139">
        <v>1265</v>
      </c>
      <c r="BR124" s="138">
        <v>1942</v>
      </c>
      <c r="BU124" s="139">
        <v>-677</v>
      </c>
      <c r="BV124" s="139">
        <v>149</v>
      </c>
      <c r="BX124" s="139"/>
      <c r="BY124" s="138">
        <v>-528</v>
      </c>
      <c r="BZ124" s="139">
        <v>4901</v>
      </c>
      <c r="CA124" s="139">
        <v>1147</v>
      </c>
      <c r="CB124" s="176"/>
      <c r="CC124" s="139">
        <v>-253</v>
      </c>
      <c r="CD124" s="151">
        <v>-321</v>
      </c>
      <c r="CE124" s="151">
        <v>-1673</v>
      </c>
      <c r="CF124" s="138">
        <v>26071</v>
      </c>
      <c r="CG124" s="139">
        <v>22954</v>
      </c>
      <c r="CH124" s="139">
        <v>1707</v>
      </c>
      <c r="CI124" s="139">
        <v>1410</v>
      </c>
      <c r="CJ124" s="114">
        <v>20.25</v>
      </c>
      <c r="CK124" s="152"/>
      <c r="CL124" s="138">
        <v>153</v>
      </c>
      <c r="CM124" s="190">
        <v>8487</v>
      </c>
      <c r="CN124" s="146"/>
      <c r="CO124" s="150">
        <v>4.691056910569106</v>
      </c>
      <c r="CP124" s="150">
        <v>37.35756578358943</v>
      </c>
      <c r="CQ124" s="151">
        <v>-1752.6805702839636</v>
      </c>
      <c r="CR124" s="152"/>
      <c r="CS124" s="152"/>
      <c r="CT124" s="152"/>
      <c r="CU124" s="150">
        <v>63.57918420918063</v>
      </c>
      <c r="CV124" s="151">
        <v>11.782726522917402</v>
      </c>
      <c r="CW124" s="151">
        <v>0.5961032810177851</v>
      </c>
      <c r="CX124" s="154">
        <v>7214.681277247555</v>
      </c>
      <c r="CY124" s="146">
        <v>25771</v>
      </c>
      <c r="CZ124" s="139">
        <v>10067</v>
      </c>
      <c r="DA124" s="139">
        <v>54225</v>
      </c>
      <c r="DB124" s="139">
        <v>-44158</v>
      </c>
      <c r="DC124" s="146">
        <v>27308</v>
      </c>
      <c r="DD124" s="146">
        <v>18528</v>
      </c>
      <c r="DE124" s="160"/>
      <c r="DG124" s="138">
        <v>-31</v>
      </c>
      <c r="DH124" s="138">
        <v>51</v>
      </c>
      <c r="DI124" s="139">
        <v>1698</v>
      </c>
      <c r="DJ124" s="138">
        <v>1925</v>
      </c>
      <c r="DL124" s="138">
        <v>159</v>
      </c>
      <c r="DM124" s="139">
        <v>-386</v>
      </c>
      <c r="DN124" s="139">
        <v>149</v>
      </c>
      <c r="DP124" s="139"/>
      <c r="DQ124" s="138">
        <v>-237</v>
      </c>
      <c r="DR124" s="139">
        <v>4663</v>
      </c>
      <c r="DS124" s="139">
        <v>1489</v>
      </c>
      <c r="DT124" s="176"/>
      <c r="DU124" s="139">
        <v>-394</v>
      </c>
      <c r="DV124" s="151">
        <v>-336</v>
      </c>
      <c r="DW124" s="138">
        <v>-3022</v>
      </c>
      <c r="DX124" s="138">
        <v>27308</v>
      </c>
      <c r="DY124" s="146">
        <v>24179</v>
      </c>
      <c r="DZ124" s="196">
        <v>1726</v>
      </c>
      <c r="EA124" s="146">
        <v>1403</v>
      </c>
      <c r="EB124" s="114">
        <v>20.25</v>
      </c>
      <c r="EC124" s="152"/>
      <c r="ED124" s="138">
        <v>197</v>
      </c>
      <c r="EE124" s="138">
        <v>19730</v>
      </c>
      <c r="EF124" s="138">
        <v>20679</v>
      </c>
      <c r="EG124" s="138">
        <v>22234</v>
      </c>
      <c r="EH124" s="138"/>
      <c r="EI124" s="138"/>
      <c r="EJ124" s="138"/>
      <c r="EK124" s="3">
        <v>-6225</v>
      </c>
      <c r="EL124" s="138">
        <v>1501</v>
      </c>
      <c r="EM124" s="138">
        <v>250</v>
      </c>
      <c r="EN124" s="3">
        <v>-3001</v>
      </c>
      <c r="EO124" s="138">
        <v>26</v>
      </c>
      <c r="EP124" s="138">
        <v>155</v>
      </c>
      <c r="EQ124" s="3">
        <v>-6605</v>
      </c>
      <c r="ER124" s="138">
        <v>526</v>
      </c>
      <c r="ES124" s="138">
        <v>1568</v>
      </c>
      <c r="ET124" s="163">
        <v>1000</v>
      </c>
      <c r="EU124" s="163">
        <v>200</v>
      </c>
      <c r="EV124" s="138"/>
      <c r="EW124" s="138">
        <v>1500</v>
      </c>
      <c r="EX124" s="138">
        <v>1300</v>
      </c>
      <c r="EY124" s="138">
        <v>1550</v>
      </c>
      <c r="EZ124" s="138">
        <v>8743</v>
      </c>
      <c r="FA124" s="138">
        <v>772</v>
      </c>
      <c r="FB124" s="138">
        <v>7971</v>
      </c>
      <c r="FC124" s="138">
        <v>787</v>
      </c>
      <c r="FD124" s="138">
        <v>9921</v>
      </c>
      <c r="FE124" s="138">
        <v>500</v>
      </c>
      <c r="FF124" s="138">
        <v>9421</v>
      </c>
      <c r="FG124" s="138">
        <v>774</v>
      </c>
      <c r="FH124" s="138">
        <v>12435</v>
      </c>
      <c r="FI124" s="138">
        <v>1405</v>
      </c>
      <c r="FJ124" s="138">
        <v>11030</v>
      </c>
      <c r="FK124" s="138">
        <v>774</v>
      </c>
      <c r="FL124" s="147">
        <v>2401</v>
      </c>
      <c r="FM124" s="147">
        <v>3162.7659574468084</v>
      </c>
      <c r="FO124" s="181">
        <f t="shared" si="3"/>
        <v>1194.0246913580247</v>
      </c>
      <c r="FP124" s="179">
        <f t="shared" si="5"/>
        <v>140.68866399882464</v>
      </c>
      <c r="FR124" s="184"/>
      <c r="FV124" s="184">
        <v>271</v>
      </c>
      <c r="FW124" s="2">
        <f t="shared" si="4"/>
        <v>-271</v>
      </c>
    </row>
    <row r="125" spans="1:179" ht="12.75">
      <c r="A125" s="82">
        <v>407</v>
      </c>
      <c r="B125" s="80" t="s">
        <v>125</v>
      </c>
      <c r="C125" s="191">
        <v>2848</v>
      </c>
      <c r="D125" s="146"/>
      <c r="E125" s="150">
        <v>0.283609576427256</v>
      </c>
      <c r="F125" s="150">
        <v>30.4</v>
      </c>
      <c r="G125" s="151">
        <v>-1696</v>
      </c>
      <c r="H125" s="152"/>
      <c r="I125" s="152"/>
      <c r="J125" s="152"/>
      <c r="K125" s="150">
        <v>56.3</v>
      </c>
      <c r="L125" s="151">
        <v>131</v>
      </c>
      <c r="M125" s="151">
        <v>6</v>
      </c>
      <c r="N125" s="154">
        <v>10911.867977528089</v>
      </c>
      <c r="O125" s="146">
        <v>8470</v>
      </c>
      <c r="P125" s="139">
        <v>6505</v>
      </c>
      <c r="Q125" s="139">
        <v>21697</v>
      </c>
      <c r="R125" s="139">
        <v>-15192</v>
      </c>
      <c r="S125" s="146">
        <v>7544</v>
      </c>
      <c r="T125" s="139">
        <v>6836</v>
      </c>
      <c r="U125" s="160"/>
      <c r="W125" s="138">
        <v>-102</v>
      </c>
      <c r="X125" s="138">
        <v>738</v>
      </c>
      <c r="Y125" s="139">
        <v>-176</v>
      </c>
      <c r="Z125" s="138">
        <v>472</v>
      </c>
      <c r="AA125" s="139">
        <v>6</v>
      </c>
      <c r="AC125" s="139">
        <v>-642</v>
      </c>
      <c r="AF125" s="138">
        <v>732</v>
      </c>
      <c r="AG125" s="139">
        <v>90</v>
      </c>
      <c r="AH125" s="139">
        <v>1167</v>
      </c>
      <c r="AI125" s="139">
        <v>-245</v>
      </c>
      <c r="AJ125" s="176"/>
      <c r="AK125" s="139">
        <v>-100</v>
      </c>
      <c r="AL125" s="151">
        <v>-213</v>
      </c>
      <c r="AM125" s="151">
        <v>-1953</v>
      </c>
      <c r="AN125" s="146">
        <v>7544</v>
      </c>
      <c r="AO125" s="139">
        <v>6762</v>
      </c>
      <c r="AP125" s="139">
        <v>488</v>
      </c>
      <c r="AQ125" s="139">
        <v>294</v>
      </c>
      <c r="AR125" s="114">
        <v>19</v>
      </c>
      <c r="AS125" s="152"/>
      <c r="AT125" s="138">
        <v>301</v>
      </c>
      <c r="AU125" s="191">
        <v>2829</v>
      </c>
      <c r="AV125" s="146"/>
      <c r="AW125" s="150">
        <v>2.995893223819302</v>
      </c>
      <c r="AX125" s="150">
        <v>31.5</v>
      </c>
      <c r="AY125" s="151">
        <v>-2041</v>
      </c>
      <c r="AZ125" s="152"/>
      <c r="BA125" s="152"/>
      <c r="BB125" s="152"/>
      <c r="BC125" s="150">
        <v>57.7</v>
      </c>
      <c r="BD125" s="151">
        <v>57</v>
      </c>
      <c r="BE125" s="151">
        <v>2</v>
      </c>
      <c r="BF125" s="154">
        <v>8401.555319901025</v>
      </c>
      <c r="BG125" s="146">
        <v>8479</v>
      </c>
      <c r="BH125" s="139">
        <v>6912</v>
      </c>
      <c r="BI125" s="139">
        <v>21313</v>
      </c>
      <c r="BJ125" s="139">
        <v>-14401</v>
      </c>
      <c r="BK125" s="146">
        <v>8264</v>
      </c>
      <c r="BL125" s="146">
        <v>6850</v>
      </c>
      <c r="BM125" s="160"/>
      <c r="BO125" s="138">
        <v>-125</v>
      </c>
      <c r="BP125" s="138">
        <v>740</v>
      </c>
      <c r="BQ125" s="139">
        <v>1328</v>
      </c>
      <c r="BR125" s="138">
        <v>506</v>
      </c>
      <c r="BS125" s="139"/>
      <c r="BU125" s="139">
        <v>822</v>
      </c>
      <c r="BX125" s="138">
        <v>396</v>
      </c>
      <c r="BY125" s="138">
        <v>1218</v>
      </c>
      <c r="BZ125" s="139">
        <v>2185</v>
      </c>
      <c r="CA125" s="139">
        <v>1082</v>
      </c>
      <c r="CB125" s="176"/>
      <c r="CC125" s="139">
        <v>153</v>
      </c>
      <c r="CD125" s="151">
        <v>-356</v>
      </c>
      <c r="CE125" s="151">
        <v>-596</v>
      </c>
      <c r="CF125" s="138">
        <v>8264</v>
      </c>
      <c r="CG125" s="139">
        <v>7478</v>
      </c>
      <c r="CH125" s="139">
        <v>325</v>
      </c>
      <c r="CI125" s="139">
        <v>461</v>
      </c>
      <c r="CJ125" s="114">
        <v>20.5</v>
      </c>
      <c r="CK125" s="152"/>
      <c r="CL125" s="138">
        <v>26</v>
      </c>
      <c r="CM125" s="190">
        <v>2820</v>
      </c>
      <c r="CN125" s="146"/>
      <c r="CO125" s="150">
        <v>3.3555555555555556</v>
      </c>
      <c r="CP125" s="150">
        <v>31.2270323563682</v>
      </c>
      <c r="CQ125" s="151">
        <v>-1897.1631205673757</v>
      </c>
      <c r="CR125" s="152"/>
      <c r="CS125" s="152"/>
      <c r="CT125" s="152"/>
      <c r="CU125" s="150">
        <v>58.89136033715757</v>
      </c>
      <c r="CV125" s="151">
        <v>122.6950354609929</v>
      </c>
      <c r="CW125" s="151">
        <v>5.4555272365976935</v>
      </c>
      <c r="CX125" s="154">
        <v>8208.86524822695</v>
      </c>
      <c r="CY125" s="146">
        <v>8204</v>
      </c>
      <c r="CZ125" s="139">
        <v>6847</v>
      </c>
      <c r="DA125" s="139">
        <v>21888</v>
      </c>
      <c r="DB125" s="139">
        <v>-15041</v>
      </c>
      <c r="DC125" s="146">
        <v>8591</v>
      </c>
      <c r="DD125" s="146">
        <v>6876</v>
      </c>
      <c r="DE125" s="160"/>
      <c r="DG125" s="138">
        <v>-148</v>
      </c>
      <c r="DH125" s="138">
        <v>1077</v>
      </c>
      <c r="DI125" s="139">
        <v>1355</v>
      </c>
      <c r="DJ125" s="138">
        <v>616</v>
      </c>
      <c r="DK125" s="139"/>
      <c r="DL125" s="138">
        <v>159</v>
      </c>
      <c r="DM125" s="139">
        <v>580</v>
      </c>
      <c r="DQ125" s="138">
        <v>580</v>
      </c>
      <c r="DR125" s="139">
        <v>2765</v>
      </c>
      <c r="DS125" s="139">
        <v>1021</v>
      </c>
      <c r="DT125" s="176"/>
      <c r="DU125" s="139">
        <v>-277</v>
      </c>
      <c r="DV125" s="151">
        <v>-296</v>
      </c>
      <c r="DW125" s="138">
        <v>418</v>
      </c>
      <c r="DX125" s="138">
        <v>8591</v>
      </c>
      <c r="DY125" s="146">
        <v>7789</v>
      </c>
      <c r="DZ125" s="196">
        <v>326</v>
      </c>
      <c r="EA125" s="146">
        <v>476</v>
      </c>
      <c r="EB125" s="114">
        <v>20.5</v>
      </c>
      <c r="EC125" s="152"/>
      <c r="ED125" s="138">
        <v>64</v>
      </c>
      <c r="EE125" s="138">
        <v>10507</v>
      </c>
      <c r="EF125" s="138">
        <v>10242</v>
      </c>
      <c r="EG125" s="138">
        <v>11100</v>
      </c>
      <c r="EH125" s="138"/>
      <c r="EI125" s="138"/>
      <c r="EJ125" s="138"/>
      <c r="EK125" s="3">
        <v>-1867</v>
      </c>
      <c r="EL125" s="138"/>
      <c r="EM125" s="138">
        <v>159</v>
      </c>
      <c r="EN125" s="3">
        <v>-1925</v>
      </c>
      <c r="EO125" s="138"/>
      <c r="EP125" s="138">
        <v>246</v>
      </c>
      <c r="EQ125" s="3">
        <v>-803</v>
      </c>
      <c r="ES125" s="138">
        <v>200</v>
      </c>
      <c r="ET125" s="163">
        <v>2250</v>
      </c>
      <c r="EU125" s="163">
        <v>300</v>
      </c>
      <c r="EV125" s="138">
        <v>1200</v>
      </c>
      <c r="EW125" s="138">
        <v>-349</v>
      </c>
      <c r="EX125" s="138">
        <v>400</v>
      </c>
      <c r="EY125" s="138">
        <v>-200</v>
      </c>
      <c r="EZ125" s="138">
        <v>4598</v>
      </c>
      <c r="FA125" s="138">
        <v>3729</v>
      </c>
      <c r="FB125" s="138">
        <v>869</v>
      </c>
      <c r="FC125" s="138">
        <v>251</v>
      </c>
      <c r="FD125" s="138">
        <v>5092</v>
      </c>
      <c r="FE125" s="138">
        <v>4573</v>
      </c>
      <c r="FF125" s="138">
        <v>519</v>
      </c>
      <c r="FG125" s="138">
        <v>251</v>
      </c>
      <c r="FH125" s="138">
        <v>4996</v>
      </c>
      <c r="FI125" s="138">
        <v>4627</v>
      </c>
      <c r="FJ125" s="138">
        <v>369</v>
      </c>
      <c r="FK125" s="138">
        <v>251</v>
      </c>
      <c r="FL125" s="147">
        <v>4197</v>
      </c>
      <c r="FM125" s="147">
        <v>4492.400141392718</v>
      </c>
      <c r="FO125" s="181">
        <f aca="true" t="shared" si="6" ref="FO125:FO185">(DY125/EB125)</f>
        <v>379.9512195121951</v>
      </c>
      <c r="FP125" s="179">
        <f t="shared" si="5"/>
        <v>134.7344750043245</v>
      </c>
      <c r="FR125" s="184"/>
      <c r="FV125" s="184">
        <v>213</v>
      </c>
      <c r="FW125" s="2">
        <f aca="true" t="shared" si="7" ref="FW125:FW185">FV125*-1</f>
        <v>-213</v>
      </c>
    </row>
    <row r="126" spans="1:179" ht="12.75">
      <c r="A126" s="82">
        <v>402</v>
      </c>
      <c r="B126" s="80" t="s">
        <v>122</v>
      </c>
      <c r="C126" s="191">
        <v>10386</v>
      </c>
      <c r="D126" s="146"/>
      <c r="E126" s="150">
        <v>2.037555697008275</v>
      </c>
      <c r="F126" s="150">
        <v>35.4</v>
      </c>
      <c r="G126" s="151">
        <v>-1836</v>
      </c>
      <c r="H126" s="152"/>
      <c r="I126" s="152"/>
      <c r="J126" s="152"/>
      <c r="K126" s="150">
        <v>63.2</v>
      </c>
      <c r="L126" s="151">
        <v>149</v>
      </c>
      <c r="M126" s="151">
        <v>8</v>
      </c>
      <c r="N126" s="154">
        <v>6446.85153090699</v>
      </c>
      <c r="O126" s="146">
        <v>31775</v>
      </c>
      <c r="P126" s="139">
        <v>12681</v>
      </c>
      <c r="Q126" s="139">
        <v>63556</v>
      </c>
      <c r="R126" s="139">
        <v>-50875</v>
      </c>
      <c r="S126" s="146">
        <v>25209</v>
      </c>
      <c r="T126" s="139">
        <v>28468</v>
      </c>
      <c r="U126" s="160"/>
      <c r="W126" s="138">
        <v>-254</v>
      </c>
      <c r="X126" s="138">
        <v>570</v>
      </c>
      <c r="Y126" s="139">
        <v>3118</v>
      </c>
      <c r="Z126" s="138">
        <v>2937</v>
      </c>
      <c r="AA126" s="138">
        <v>268</v>
      </c>
      <c r="AB126" s="138">
        <v>968</v>
      </c>
      <c r="AC126" s="139">
        <v>-519</v>
      </c>
      <c r="AD126" s="138">
        <v>59</v>
      </c>
      <c r="AF126" s="139"/>
      <c r="AG126" s="139">
        <v>-460</v>
      </c>
      <c r="AH126" s="139">
        <v>8230</v>
      </c>
      <c r="AI126" s="139">
        <v>3281</v>
      </c>
      <c r="AJ126" s="176"/>
      <c r="AK126" s="139">
        <v>427</v>
      </c>
      <c r="AL126" s="151">
        <v>-1488</v>
      </c>
      <c r="AM126" s="151">
        <v>-3120</v>
      </c>
      <c r="AN126" s="146">
        <v>25209</v>
      </c>
      <c r="AO126" s="139">
        <v>22090</v>
      </c>
      <c r="AP126" s="139">
        <v>1792</v>
      </c>
      <c r="AQ126" s="139">
        <v>1327</v>
      </c>
      <c r="AR126" s="114">
        <v>18.5</v>
      </c>
      <c r="AS126" s="152"/>
      <c r="AT126" s="138">
        <v>126</v>
      </c>
      <c r="AU126" s="191">
        <v>10289</v>
      </c>
      <c r="AV126" s="146"/>
      <c r="AW126" s="150">
        <v>-0.6381880733944955</v>
      </c>
      <c r="AX126" s="150">
        <v>46.8</v>
      </c>
      <c r="AY126" s="151">
        <v>-2554</v>
      </c>
      <c r="AZ126" s="152"/>
      <c r="BA126" s="152"/>
      <c r="BB126" s="152"/>
      <c r="BC126" s="150">
        <v>57.1</v>
      </c>
      <c r="BD126" s="151">
        <v>38</v>
      </c>
      <c r="BE126" s="151">
        <v>2</v>
      </c>
      <c r="BF126" s="154">
        <v>8374.574788609194</v>
      </c>
      <c r="BG126" s="146">
        <v>32658</v>
      </c>
      <c r="BH126" s="139">
        <v>8168</v>
      </c>
      <c r="BI126" s="139">
        <v>65116</v>
      </c>
      <c r="BJ126" s="139">
        <v>-56948</v>
      </c>
      <c r="BK126" s="146">
        <v>25378</v>
      </c>
      <c r="BL126" s="146">
        <v>29263</v>
      </c>
      <c r="BM126" s="160"/>
      <c r="BO126" s="138">
        <v>203</v>
      </c>
      <c r="BP126" s="138">
        <v>720</v>
      </c>
      <c r="BQ126" s="139">
        <v>-1384</v>
      </c>
      <c r="BR126" s="138">
        <v>2069</v>
      </c>
      <c r="BU126" s="139">
        <v>-3453</v>
      </c>
      <c r="BV126" s="138">
        <v>59</v>
      </c>
      <c r="BX126" s="139"/>
      <c r="BY126" s="138">
        <v>-3394</v>
      </c>
      <c r="BZ126" s="139">
        <v>4835</v>
      </c>
      <c r="CA126" s="139">
        <v>-2384</v>
      </c>
      <c r="CB126" s="176"/>
      <c r="CC126" s="139">
        <v>137</v>
      </c>
      <c r="CD126" s="151">
        <v>-1473</v>
      </c>
      <c r="CE126" s="151">
        <v>5189</v>
      </c>
      <c r="CF126" s="138">
        <v>25378</v>
      </c>
      <c r="CG126" s="139">
        <v>22409</v>
      </c>
      <c r="CH126" s="139">
        <v>1088</v>
      </c>
      <c r="CI126" s="139">
        <v>1881</v>
      </c>
      <c r="CJ126" s="114">
        <v>18.5</v>
      </c>
      <c r="CK126" s="152"/>
      <c r="CL126" s="138">
        <v>291</v>
      </c>
      <c r="CM126" s="190">
        <v>10176</v>
      </c>
      <c r="CN126" s="146"/>
      <c r="CO126" s="150">
        <v>0.661522633744856</v>
      </c>
      <c r="CP126" s="150">
        <v>48.70812251130206</v>
      </c>
      <c r="CQ126" s="151">
        <v>-2678.655660377359</v>
      </c>
      <c r="CR126" s="152"/>
      <c r="CS126" s="152"/>
      <c r="CT126" s="152"/>
      <c r="CU126" s="150">
        <v>53.158551810237206</v>
      </c>
      <c r="CV126" s="151">
        <v>160.37735849056602</v>
      </c>
      <c r="CW126" s="151">
        <v>7.963316979265537</v>
      </c>
      <c r="CX126" s="154">
        <v>7350.923742138365</v>
      </c>
      <c r="CY126" s="146">
        <v>33322</v>
      </c>
      <c r="CZ126" s="139">
        <v>8659</v>
      </c>
      <c r="DA126" s="139">
        <v>66605</v>
      </c>
      <c r="DB126" s="139">
        <v>-57946</v>
      </c>
      <c r="DC126" s="146">
        <v>27887</v>
      </c>
      <c r="DD126" s="146">
        <v>30256</v>
      </c>
      <c r="DE126" s="160"/>
      <c r="DG126" s="138">
        <v>147</v>
      </c>
      <c r="DH126" s="138">
        <v>734</v>
      </c>
      <c r="DI126" s="139">
        <v>1078</v>
      </c>
      <c r="DJ126" s="138">
        <v>3440</v>
      </c>
      <c r="DL126" s="138">
        <v>50</v>
      </c>
      <c r="DM126" s="139">
        <v>-2412</v>
      </c>
      <c r="DN126" s="138">
        <v>59</v>
      </c>
      <c r="DP126" s="139"/>
      <c r="DQ126" s="138">
        <v>-2353</v>
      </c>
      <c r="DR126" s="139">
        <v>2483</v>
      </c>
      <c r="DS126" s="139">
        <v>1004</v>
      </c>
      <c r="DT126" s="176"/>
      <c r="DU126" s="139">
        <v>-901</v>
      </c>
      <c r="DV126" s="151">
        <v>-1736</v>
      </c>
      <c r="DW126" s="138">
        <v>-3848</v>
      </c>
      <c r="DX126" s="138">
        <v>27887</v>
      </c>
      <c r="DY126" s="146">
        <v>24448</v>
      </c>
      <c r="DZ126" s="196">
        <v>1501</v>
      </c>
      <c r="EA126" s="146">
        <v>1938</v>
      </c>
      <c r="EB126" s="114">
        <v>19.5</v>
      </c>
      <c r="EC126" s="152"/>
      <c r="ED126" s="138">
        <v>246</v>
      </c>
      <c r="EE126" s="138">
        <v>22644</v>
      </c>
      <c r="EF126" s="138">
        <v>23732</v>
      </c>
      <c r="EG126" s="138">
        <v>24432</v>
      </c>
      <c r="EH126" s="138"/>
      <c r="EI126" s="138"/>
      <c r="EJ126" s="138"/>
      <c r="EK126" s="3">
        <v>-7917</v>
      </c>
      <c r="EL126" s="138">
        <v>839</v>
      </c>
      <c r="EM126" s="138">
        <v>677</v>
      </c>
      <c r="EN126" s="3">
        <v>-6467</v>
      </c>
      <c r="EO126" s="138">
        <v>90</v>
      </c>
      <c r="EP126" s="138">
        <v>13950</v>
      </c>
      <c r="EQ126" s="3">
        <v>-6082</v>
      </c>
      <c r="ER126" s="138">
        <v>1120</v>
      </c>
      <c r="ES126" s="138">
        <v>110</v>
      </c>
      <c r="ET126" s="163">
        <v>2500</v>
      </c>
      <c r="EU126" s="163">
        <v>-1500</v>
      </c>
      <c r="EV126" s="138">
        <v>5600</v>
      </c>
      <c r="EW126" s="138">
        <v>1500</v>
      </c>
      <c r="EX126" s="138">
        <v>5600</v>
      </c>
      <c r="EY126" s="138">
        <v>-500</v>
      </c>
      <c r="EZ126" s="138">
        <v>16203</v>
      </c>
      <c r="FA126" s="138">
        <v>14261</v>
      </c>
      <c r="FB126" s="138">
        <v>1942</v>
      </c>
      <c r="FC126" s="138">
        <v>1944</v>
      </c>
      <c r="FD126" s="138">
        <v>21829</v>
      </c>
      <c r="FE126" s="138">
        <v>18094</v>
      </c>
      <c r="FF126" s="138">
        <v>3735</v>
      </c>
      <c r="FG126" s="138">
        <v>14363</v>
      </c>
      <c r="FH126" s="138">
        <v>25192</v>
      </c>
      <c r="FI126" s="138">
        <v>21736</v>
      </c>
      <c r="FJ126" s="138">
        <v>3456</v>
      </c>
      <c r="FK126" s="138">
        <v>11491</v>
      </c>
      <c r="FL126" s="147">
        <v>3390</v>
      </c>
      <c r="FM126" s="147">
        <v>4042.8613081932162</v>
      </c>
      <c r="FO126" s="181">
        <f t="shared" si="6"/>
        <v>1253.7435897435898</v>
      </c>
      <c r="FP126" s="179">
        <f t="shared" si="5"/>
        <v>123.20593452668925</v>
      </c>
      <c r="FR126" s="184"/>
      <c r="FV126" s="184">
        <v>1488</v>
      </c>
      <c r="FW126" s="2">
        <f t="shared" si="7"/>
        <v>-1488</v>
      </c>
    </row>
    <row r="127" spans="1:179" ht="12.75">
      <c r="A127" s="82">
        <v>403</v>
      </c>
      <c r="B127" s="80" t="s">
        <v>123</v>
      </c>
      <c r="C127" s="191">
        <v>3436</v>
      </c>
      <c r="D127" s="146"/>
      <c r="E127" s="150">
        <v>0.8827598762060804</v>
      </c>
      <c r="F127" s="150">
        <v>34.8</v>
      </c>
      <c r="G127" s="151">
        <v>-1533</v>
      </c>
      <c r="H127" s="152"/>
      <c r="I127" s="152"/>
      <c r="J127" s="152"/>
      <c r="K127" s="150">
        <v>70</v>
      </c>
      <c r="L127" s="151">
        <v>211</v>
      </c>
      <c r="M127" s="151">
        <v>12</v>
      </c>
      <c r="N127" s="154">
        <v>27187.718277066357</v>
      </c>
      <c r="O127" s="146">
        <v>4687</v>
      </c>
      <c r="P127" s="139">
        <v>1793</v>
      </c>
      <c r="Q127" s="139">
        <v>19539</v>
      </c>
      <c r="R127" s="139">
        <v>-17746</v>
      </c>
      <c r="S127" s="146">
        <v>8539</v>
      </c>
      <c r="T127" s="139">
        <v>9259</v>
      </c>
      <c r="U127" s="160"/>
      <c r="W127" s="138">
        <v>-75</v>
      </c>
      <c r="X127" s="138">
        <v>30</v>
      </c>
      <c r="Y127" s="139">
        <v>7</v>
      </c>
      <c r="Z127" s="138">
        <v>881</v>
      </c>
      <c r="AA127" s="138">
        <v>85</v>
      </c>
      <c r="AC127" s="139">
        <v>-789</v>
      </c>
      <c r="AD127" s="138">
        <v>27</v>
      </c>
      <c r="AG127" s="139">
        <v>-762</v>
      </c>
      <c r="AH127" s="139">
        <v>-480</v>
      </c>
      <c r="AI127" s="139">
        <v>68</v>
      </c>
      <c r="AJ127" s="176"/>
      <c r="AK127" s="139">
        <v>-230</v>
      </c>
      <c r="AL127" s="151">
        <v>-651</v>
      </c>
      <c r="AM127" s="151">
        <v>-1978</v>
      </c>
      <c r="AN127" s="146">
        <v>8539</v>
      </c>
      <c r="AO127" s="139">
        <v>7397</v>
      </c>
      <c r="AP127" s="139">
        <v>591</v>
      </c>
      <c r="AQ127" s="139">
        <v>551</v>
      </c>
      <c r="AR127" s="114">
        <v>20</v>
      </c>
      <c r="AS127" s="152"/>
      <c r="AT127" s="138">
        <v>286</v>
      </c>
      <c r="AU127" s="191">
        <v>3383</v>
      </c>
      <c r="AV127" s="146"/>
      <c r="AW127" s="150">
        <v>0.8471153846153846</v>
      </c>
      <c r="AX127" s="150">
        <v>43.5</v>
      </c>
      <c r="AY127" s="151">
        <v>-2309</v>
      </c>
      <c r="AZ127" s="152"/>
      <c r="BA127" s="152"/>
      <c r="BB127" s="152"/>
      <c r="BC127" s="150">
        <v>62.4</v>
      </c>
      <c r="BD127" s="151">
        <v>350</v>
      </c>
      <c r="BE127" s="151">
        <v>17</v>
      </c>
      <c r="BF127" s="154">
        <v>7571.681939107301</v>
      </c>
      <c r="BG127" s="146">
        <v>4763</v>
      </c>
      <c r="BH127" s="139">
        <v>2043</v>
      </c>
      <c r="BI127" s="139">
        <v>20893</v>
      </c>
      <c r="BJ127" s="139">
        <v>-18850</v>
      </c>
      <c r="BK127" s="146">
        <v>9598</v>
      </c>
      <c r="BL127" s="146">
        <v>10107</v>
      </c>
      <c r="BM127" s="160"/>
      <c r="BO127" s="138">
        <v>-108</v>
      </c>
      <c r="BP127" s="138">
        <v>25</v>
      </c>
      <c r="BQ127" s="139">
        <v>772</v>
      </c>
      <c r="BR127" s="138">
        <v>970</v>
      </c>
      <c r="BT127" s="138">
        <v>67</v>
      </c>
      <c r="BU127" s="139">
        <v>-265</v>
      </c>
      <c r="BX127" s="138">
        <v>31</v>
      </c>
      <c r="BY127" s="138">
        <v>-234</v>
      </c>
      <c r="BZ127" s="139">
        <v>-714</v>
      </c>
      <c r="CA127" s="139">
        <v>686</v>
      </c>
      <c r="CB127" s="176"/>
      <c r="CC127" s="139">
        <v>362</v>
      </c>
      <c r="CD127" s="151">
        <v>-931</v>
      </c>
      <c r="CE127" s="151">
        <v>-2741</v>
      </c>
      <c r="CF127" s="138">
        <v>9598</v>
      </c>
      <c r="CG127" s="139">
        <v>8487</v>
      </c>
      <c r="CH127" s="139">
        <v>468</v>
      </c>
      <c r="CI127" s="139">
        <v>643</v>
      </c>
      <c r="CJ127" s="114">
        <v>21</v>
      </c>
      <c r="CK127" s="152"/>
      <c r="CL127" s="138">
        <v>97</v>
      </c>
      <c r="CM127" s="190">
        <v>3317</v>
      </c>
      <c r="CN127" s="146"/>
      <c r="CO127" s="150">
        <v>1.005390835579515</v>
      </c>
      <c r="CP127" s="150">
        <v>58.353281242942955</v>
      </c>
      <c r="CQ127" s="151">
        <v>-3447.9951763641843</v>
      </c>
      <c r="CR127" s="152"/>
      <c r="CS127" s="152"/>
      <c r="CT127" s="152"/>
      <c r="CU127" s="150">
        <v>54.86805870254819</v>
      </c>
      <c r="CV127" s="151">
        <v>227.3138378052457</v>
      </c>
      <c r="CW127" s="151">
        <v>9.656830064212778</v>
      </c>
      <c r="CX127" s="154">
        <v>8591.799819113658</v>
      </c>
      <c r="CY127" s="146">
        <v>4832</v>
      </c>
      <c r="CZ127" s="139">
        <v>2356</v>
      </c>
      <c r="DA127" s="139">
        <v>21038</v>
      </c>
      <c r="DB127" s="139">
        <v>-18682</v>
      </c>
      <c r="DC127" s="146">
        <v>9894</v>
      </c>
      <c r="DD127" s="146">
        <v>9891</v>
      </c>
      <c r="DE127" s="160"/>
      <c r="DG127" s="138">
        <v>-109</v>
      </c>
      <c r="DH127" s="138">
        <v>16</v>
      </c>
      <c r="DI127" s="139">
        <v>1010</v>
      </c>
      <c r="DJ127" s="138">
        <v>993</v>
      </c>
      <c r="DM127" s="139">
        <v>17</v>
      </c>
      <c r="DP127" s="138">
        <v>28</v>
      </c>
      <c r="DQ127" s="138">
        <v>45</v>
      </c>
      <c r="DR127" s="139">
        <v>-669</v>
      </c>
      <c r="DS127" s="139">
        <v>927</v>
      </c>
      <c r="DT127" s="176"/>
      <c r="DU127" s="139">
        <v>-261</v>
      </c>
      <c r="DV127" s="151">
        <v>-1004</v>
      </c>
      <c r="DW127" s="138">
        <v>-3469</v>
      </c>
      <c r="DX127" s="138">
        <v>9894</v>
      </c>
      <c r="DY127" s="146">
        <v>8495</v>
      </c>
      <c r="DZ127" s="196">
        <v>725</v>
      </c>
      <c r="EA127" s="146">
        <v>674</v>
      </c>
      <c r="EB127" s="114">
        <v>21</v>
      </c>
      <c r="EC127" s="152"/>
      <c r="ED127" s="138">
        <v>141</v>
      </c>
      <c r="EE127" s="138">
        <v>13212</v>
      </c>
      <c r="EF127" s="138">
        <v>14415</v>
      </c>
      <c r="EG127" s="138">
        <v>14709</v>
      </c>
      <c r="EH127" s="138"/>
      <c r="EI127" s="138">
        <v>450</v>
      </c>
      <c r="EJ127" s="138"/>
      <c r="EK127" s="3">
        <v>-2422</v>
      </c>
      <c r="EL127" s="138">
        <v>348</v>
      </c>
      <c r="EM127" s="138">
        <v>28</v>
      </c>
      <c r="EN127" s="3">
        <v>-3681</v>
      </c>
      <c r="EO127" s="138">
        <v>80</v>
      </c>
      <c r="EP127" s="138">
        <v>174</v>
      </c>
      <c r="EQ127" s="3">
        <v>-6347</v>
      </c>
      <c r="ER127" s="138">
        <v>1641</v>
      </c>
      <c r="ES127" s="138">
        <v>310</v>
      </c>
      <c r="ET127" s="163">
        <v>1000</v>
      </c>
      <c r="EU127" s="163">
        <v>800</v>
      </c>
      <c r="EV127" s="138">
        <v>2162</v>
      </c>
      <c r="EW127" s="138">
        <v>1000</v>
      </c>
      <c r="EX127" s="138">
        <v>3037</v>
      </c>
      <c r="EY127" s="138">
        <v>1200</v>
      </c>
      <c r="EZ127" s="138">
        <v>4562</v>
      </c>
      <c r="FA127" s="138">
        <v>1531</v>
      </c>
      <c r="FB127" s="138">
        <v>3031</v>
      </c>
      <c r="FC127" s="138">
        <v>1972</v>
      </c>
      <c r="FD127" s="138">
        <v>6794</v>
      </c>
      <c r="FE127" s="138">
        <v>2690</v>
      </c>
      <c r="FF127" s="138">
        <v>4104</v>
      </c>
      <c r="FG127" s="138">
        <v>1810</v>
      </c>
      <c r="FH127" s="138">
        <v>10027</v>
      </c>
      <c r="FI127" s="138">
        <v>5147</v>
      </c>
      <c r="FJ127" s="138">
        <v>4880</v>
      </c>
      <c r="FK127" s="138">
        <v>1810</v>
      </c>
      <c r="FL127" s="147">
        <v>2346</v>
      </c>
      <c r="FM127" s="147">
        <v>3117.351463198345</v>
      </c>
      <c r="FO127" s="181">
        <f t="shared" si="6"/>
        <v>404.5238095238095</v>
      </c>
      <c r="FP127" s="179">
        <f t="shared" si="5"/>
        <v>121.95472098999383</v>
      </c>
      <c r="FR127" s="184"/>
      <c r="FV127" s="184">
        <v>651</v>
      </c>
      <c r="FW127" s="2">
        <f t="shared" si="7"/>
        <v>-651</v>
      </c>
    </row>
    <row r="128" spans="1:179" ht="12.75">
      <c r="A128" s="82">
        <v>405</v>
      </c>
      <c r="B128" s="80" t="s">
        <v>124</v>
      </c>
      <c r="C128" s="191">
        <v>72133</v>
      </c>
      <c r="D128" s="146"/>
      <c r="E128" s="150">
        <v>0.8365663524292966</v>
      </c>
      <c r="F128" s="150">
        <v>64.8</v>
      </c>
      <c r="G128" s="151">
        <v>-2831</v>
      </c>
      <c r="H128" s="152"/>
      <c r="I128" s="152"/>
      <c r="J128" s="152"/>
      <c r="K128" s="150">
        <v>50.9</v>
      </c>
      <c r="L128" s="151">
        <v>294</v>
      </c>
      <c r="M128" s="151">
        <v>17</v>
      </c>
      <c r="N128" s="154">
        <v>5632.0408134972895</v>
      </c>
      <c r="O128" s="146">
        <v>100640</v>
      </c>
      <c r="P128" s="139">
        <v>102110</v>
      </c>
      <c r="Q128" s="139">
        <v>425248</v>
      </c>
      <c r="R128" s="139">
        <v>-323138</v>
      </c>
      <c r="S128" s="146">
        <v>240883</v>
      </c>
      <c r="T128" s="139">
        <v>94930</v>
      </c>
      <c r="U128" s="160"/>
      <c r="W128" s="138">
        <v>4556</v>
      </c>
      <c r="X128" s="138">
        <v>579</v>
      </c>
      <c r="Y128" s="139">
        <v>17810</v>
      </c>
      <c r="Z128" s="138">
        <v>16621</v>
      </c>
      <c r="AC128" s="139">
        <v>1189</v>
      </c>
      <c r="AD128" s="139">
        <v>-284</v>
      </c>
      <c r="AE128" s="138">
        <v>178</v>
      </c>
      <c r="AG128" s="139">
        <v>1083</v>
      </c>
      <c r="AH128" s="139">
        <v>52525</v>
      </c>
      <c r="AI128" s="139">
        <v>7884</v>
      </c>
      <c r="AJ128" s="176"/>
      <c r="AK128" s="138">
        <v>2664</v>
      </c>
      <c r="AL128" s="151">
        <v>-21416</v>
      </c>
      <c r="AM128" s="151">
        <v>-19655</v>
      </c>
      <c r="AN128" s="146">
        <v>240883</v>
      </c>
      <c r="AO128" s="139">
        <v>211142</v>
      </c>
      <c r="AP128" s="139">
        <v>16051</v>
      </c>
      <c r="AQ128" s="139">
        <v>13690</v>
      </c>
      <c r="AR128" s="114">
        <v>19.5</v>
      </c>
      <c r="AS128" s="152"/>
      <c r="AT128" s="138">
        <v>166</v>
      </c>
      <c r="AU128" s="191">
        <v>72424</v>
      </c>
      <c r="AV128" s="146"/>
      <c r="AW128" s="150">
        <v>0.4493518337567585</v>
      </c>
      <c r="AX128" s="150">
        <v>72.6</v>
      </c>
      <c r="AY128" s="151">
        <v>-3276</v>
      </c>
      <c r="AZ128" s="152"/>
      <c r="BA128" s="152"/>
      <c r="BB128" s="152"/>
      <c r="BC128" s="150">
        <v>48.1</v>
      </c>
      <c r="BD128" s="151">
        <v>311</v>
      </c>
      <c r="BE128" s="151">
        <v>17</v>
      </c>
      <c r="BF128" s="154">
        <v>6503.9351596155975</v>
      </c>
      <c r="BG128" s="146">
        <v>104769</v>
      </c>
      <c r="BH128" s="139">
        <v>87881</v>
      </c>
      <c r="BI128" s="139">
        <v>431991</v>
      </c>
      <c r="BJ128" s="139">
        <v>-344110</v>
      </c>
      <c r="BK128" s="146">
        <v>247374</v>
      </c>
      <c r="BL128" s="146">
        <v>99406</v>
      </c>
      <c r="BM128" s="160"/>
      <c r="BO128" s="138">
        <v>4811</v>
      </c>
      <c r="BP128" s="138">
        <v>2345</v>
      </c>
      <c r="BQ128" s="139">
        <v>9826</v>
      </c>
      <c r="BR128" s="138">
        <v>15505</v>
      </c>
      <c r="BU128" s="139">
        <v>-5679</v>
      </c>
      <c r="BV128" s="139">
        <v>-181</v>
      </c>
      <c r="BW128" s="138">
        <v>-169</v>
      </c>
      <c r="BY128" s="138">
        <v>-6029</v>
      </c>
      <c r="BZ128" s="139">
        <v>47429</v>
      </c>
      <c r="CA128" s="139">
        <v>3786</v>
      </c>
      <c r="CB128" s="176"/>
      <c r="CC128" s="138">
        <v>8365</v>
      </c>
      <c r="CD128" s="151">
        <v>-26732</v>
      </c>
      <c r="CE128" s="151">
        <v>-33775</v>
      </c>
      <c r="CF128" s="138">
        <v>247374</v>
      </c>
      <c r="CG128" s="139">
        <v>217590</v>
      </c>
      <c r="CH128" s="139">
        <v>13224</v>
      </c>
      <c r="CI128" s="139">
        <v>16560</v>
      </c>
      <c r="CJ128" s="114">
        <v>19.5</v>
      </c>
      <c r="CK128" s="152"/>
      <c r="CL128" s="138">
        <v>166</v>
      </c>
      <c r="CM128" s="190">
        <v>72658</v>
      </c>
      <c r="CN128" s="146"/>
      <c r="CO128" s="150">
        <v>0.9243611146783101</v>
      </c>
      <c r="CP128" s="150">
        <v>71.40536130034145</v>
      </c>
      <c r="CQ128" s="151">
        <v>-3459.6740895703156</v>
      </c>
      <c r="CR128" s="152"/>
      <c r="CS128" s="152"/>
      <c r="CT128" s="152"/>
      <c r="CU128" s="150">
        <v>47.32923685704095</v>
      </c>
      <c r="CV128" s="151">
        <v>268.4769743180379</v>
      </c>
      <c r="CW128" s="151">
        <v>14.539121574296992</v>
      </c>
      <c r="CX128" s="154">
        <v>6740.028627267472</v>
      </c>
      <c r="CY128" s="146">
        <v>105648</v>
      </c>
      <c r="CZ128" s="139">
        <v>81401</v>
      </c>
      <c r="DA128" s="139">
        <v>433760</v>
      </c>
      <c r="DB128" s="139">
        <v>-352359</v>
      </c>
      <c r="DC128" s="146">
        <v>265499</v>
      </c>
      <c r="DD128" s="146">
        <v>103064</v>
      </c>
      <c r="DE128" s="160"/>
      <c r="DG128" s="138">
        <v>4501</v>
      </c>
      <c r="DH128" s="138">
        <v>4067</v>
      </c>
      <c r="DI128" s="139">
        <v>24772</v>
      </c>
      <c r="DJ128" s="138">
        <v>21869</v>
      </c>
      <c r="DM128" s="139">
        <v>2903</v>
      </c>
      <c r="DN128" s="139">
        <v>-140</v>
      </c>
      <c r="DO128" s="138">
        <v>-452</v>
      </c>
      <c r="DQ128" s="138">
        <v>2311</v>
      </c>
      <c r="DR128" s="139">
        <v>49739</v>
      </c>
      <c r="DS128" s="139">
        <v>19240</v>
      </c>
      <c r="DT128" s="176"/>
      <c r="DU128" s="138">
        <v>-442</v>
      </c>
      <c r="DV128" s="151">
        <v>-27128</v>
      </c>
      <c r="DW128" s="138">
        <v>-14302</v>
      </c>
      <c r="DX128" s="138">
        <v>265499</v>
      </c>
      <c r="DY128" s="146">
        <v>230427</v>
      </c>
      <c r="DZ128" s="196">
        <v>17161</v>
      </c>
      <c r="EA128" s="146">
        <v>17911</v>
      </c>
      <c r="EB128" s="114">
        <v>19.5</v>
      </c>
      <c r="EC128" s="152"/>
      <c r="ED128" s="138">
        <v>115</v>
      </c>
      <c r="EE128" s="138">
        <v>281532</v>
      </c>
      <c r="EF128" s="138">
        <v>294869</v>
      </c>
      <c r="EG128" s="138">
        <v>296659</v>
      </c>
      <c r="EH128" s="138"/>
      <c r="EI128" s="138"/>
      <c r="EJ128" s="138"/>
      <c r="EK128" s="3">
        <v>-52334</v>
      </c>
      <c r="EL128" s="138">
        <v>5336</v>
      </c>
      <c r="EM128" s="138">
        <v>19459</v>
      </c>
      <c r="EN128" s="3">
        <v>-47634</v>
      </c>
      <c r="EO128" s="138">
        <v>2081</v>
      </c>
      <c r="EP128" s="138">
        <v>7992</v>
      </c>
      <c r="EQ128" s="3">
        <v>-54413</v>
      </c>
      <c r="ER128" s="138">
        <v>2468</v>
      </c>
      <c r="ES128" s="138">
        <v>18403</v>
      </c>
      <c r="ET128" s="163">
        <v>13058</v>
      </c>
      <c r="EU128" s="163">
        <v>12397</v>
      </c>
      <c r="EV128" s="138">
        <v>75000</v>
      </c>
      <c r="EW128" s="138">
        <v>-24626</v>
      </c>
      <c r="EX128" s="138">
        <v>40000</v>
      </c>
      <c r="EY128" s="138">
        <v>-840</v>
      </c>
      <c r="EZ128" s="138">
        <v>200892</v>
      </c>
      <c r="FA128" s="138">
        <v>122784</v>
      </c>
      <c r="FB128" s="138">
        <v>78108</v>
      </c>
      <c r="FC128" s="138">
        <v>119456</v>
      </c>
      <c r="FD128" s="138">
        <v>224533</v>
      </c>
      <c r="FE128" s="138">
        <v>168810</v>
      </c>
      <c r="FF128" s="138">
        <v>55723</v>
      </c>
      <c r="FG128" s="138">
        <v>119656</v>
      </c>
      <c r="FH128" s="138">
        <v>236566</v>
      </c>
      <c r="FI128" s="138">
        <v>182682</v>
      </c>
      <c r="FJ128" s="138">
        <v>53884</v>
      </c>
      <c r="FK128" s="138">
        <v>119656</v>
      </c>
      <c r="FL128" s="147">
        <v>6362</v>
      </c>
      <c r="FM128" s="147">
        <v>6942.339555948305</v>
      </c>
      <c r="FO128" s="181">
        <f t="shared" si="6"/>
        <v>11816.76923076923</v>
      </c>
      <c r="FP128" s="179">
        <f t="shared" si="5"/>
        <v>162.6354872246584</v>
      </c>
      <c r="FR128" s="184"/>
      <c r="FV128" s="184">
        <v>21416</v>
      </c>
      <c r="FW128" s="2">
        <f t="shared" si="7"/>
        <v>-21416</v>
      </c>
    </row>
    <row r="129" spans="1:179" ht="12.75">
      <c r="A129" s="82">
        <v>408</v>
      </c>
      <c r="B129" s="80" t="s">
        <v>126</v>
      </c>
      <c r="C129" s="191">
        <v>14530</v>
      </c>
      <c r="D129" s="146"/>
      <c r="E129" s="150">
        <v>1.0056384742951907</v>
      </c>
      <c r="F129" s="150">
        <v>44.5</v>
      </c>
      <c r="G129" s="151">
        <v>-2067</v>
      </c>
      <c r="H129" s="152"/>
      <c r="I129" s="152"/>
      <c r="J129" s="152"/>
      <c r="K129" s="150">
        <v>54.2</v>
      </c>
      <c r="L129" s="151">
        <v>327</v>
      </c>
      <c r="M129" s="151">
        <v>18</v>
      </c>
      <c r="N129" s="154">
        <v>5717.9628355127315</v>
      </c>
      <c r="O129" s="146">
        <v>40020</v>
      </c>
      <c r="P129" s="139">
        <v>12610</v>
      </c>
      <c r="Q129" s="139">
        <v>82236</v>
      </c>
      <c r="R129" s="139">
        <v>-69626</v>
      </c>
      <c r="S129" s="146">
        <v>41225</v>
      </c>
      <c r="T129" s="139">
        <v>31538</v>
      </c>
      <c r="U129" s="160"/>
      <c r="W129" s="138">
        <v>-514</v>
      </c>
      <c r="X129" s="138">
        <v>331</v>
      </c>
      <c r="Y129" s="139">
        <v>2954</v>
      </c>
      <c r="Z129" s="138">
        <v>4211</v>
      </c>
      <c r="AC129" s="139">
        <v>-1257</v>
      </c>
      <c r="AG129" s="139">
        <v>-1257</v>
      </c>
      <c r="AH129" s="139">
        <v>15276</v>
      </c>
      <c r="AI129" s="139">
        <v>2352</v>
      </c>
      <c r="AJ129" s="176"/>
      <c r="AK129" s="138">
        <v>587</v>
      </c>
      <c r="AL129" s="151">
        <v>-2937</v>
      </c>
      <c r="AM129" s="151">
        <v>-5056</v>
      </c>
      <c r="AN129" s="146">
        <v>41225</v>
      </c>
      <c r="AO129" s="139">
        <v>36241</v>
      </c>
      <c r="AP129" s="139">
        <v>2945</v>
      </c>
      <c r="AQ129" s="139">
        <v>2039</v>
      </c>
      <c r="AR129" s="114">
        <v>19.5</v>
      </c>
      <c r="AS129" s="152"/>
      <c r="AT129" s="138">
        <v>200</v>
      </c>
      <c r="AU129" s="191">
        <v>14650</v>
      </c>
      <c r="AV129" s="146"/>
      <c r="AW129" s="150">
        <v>0.8353879622915156</v>
      </c>
      <c r="AX129" s="150">
        <v>50.2</v>
      </c>
      <c r="AY129" s="151">
        <v>-2503</v>
      </c>
      <c r="AZ129" s="152"/>
      <c r="BA129" s="152"/>
      <c r="BB129" s="152"/>
      <c r="BC129" s="150">
        <v>48.8</v>
      </c>
      <c r="BD129" s="151">
        <v>289</v>
      </c>
      <c r="BE129" s="151">
        <v>15</v>
      </c>
      <c r="BF129" s="154">
        <v>6880.750853242321</v>
      </c>
      <c r="BG129" s="146">
        <v>41700</v>
      </c>
      <c r="BH129" s="139">
        <v>13889</v>
      </c>
      <c r="BI129" s="139">
        <v>86262</v>
      </c>
      <c r="BJ129" s="139">
        <v>-72373</v>
      </c>
      <c r="BK129" s="146">
        <v>43260</v>
      </c>
      <c r="BL129" s="146">
        <v>32216</v>
      </c>
      <c r="BM129" s="160"/>
      <c r="BO129" s="138">
        <v>-747</v>
      </c>
      <c r="BP129" s="138">
        <v>288</v>
      </c>
      <c r="BQ129" s="139">
        <v>2644</v>
      </c>
      <c r="BR129" s="138">
        <v>4773</v>
      </c>
      <c r="BU129" s="139">
        <v>-2129</v>
      </c>
      <c r="BY129" s="138">
        <v>-2129</v>
      </c>
      <c r="BZ129" s="139">
        <v>13147</v>
      </c>
      <c r="CA129" s="139">
        <v>1756</v>
      </c>
      <c r="CB129" s="176"/>
      <c r="CC129" s="138">
        <v>-683</v>
      </c>
      <c r="CD129" s="151">
        <v>-3325</v>
      </c>
      <c r="CE129" s="151">
        <v>-6753</v>
      </c>
      <c r="CF129" s="138">
        <v>43260</v>
      </c>
      <c r="CG129" s="139">
        <v>38821</v>
      </c>
      <c r="CH129" s="139">
        <v>2315</v>
      </c>
      <c r="CI129" s="139">
        <v>2124</v>
      </c>
      <c r="CJ129" s="114">
        <v>20</v>
      </c>
      <c r="CK129" s="152"/>
      <c r="CL129" s="138">
        <v>127</v>
      </c>
      <c r="CM129" s="190">
        <v>14692</v>
      </c>
      <c r="CN129" s="146"/>
      <c r="CO129" s="150">
        <v>0.5764914353219137</v>
      </c>
      <c r="CP129" s="150">
        <v>59.89239503564827</v>
      </c>
      <c r="CQ129" s="151">
        <v>-3297.1004628369183</v>
      </c>
      <c r="CR129" s="152"/>
      <c r="CS129" s="152"/>
      <c r="CT129" s="152"/>
      <c r="CU129" s="150">
        <v>42.034073418095176</v>
      </c>
      <c r="CV129" s="151">
        <v>193.57473454941464</v>
      </c>
      <c r="CW129" s="151">
        <v>9.61353596532659</v>
      </c>
      <c r="CX129" s="154">
        <v>7349.509937380888</v>
      </c>
      <c r="CY129" s="146">
        <v>41996</v>
      </c>
      <c r="CZ129" s="139">
        <v>13432</v>
      </c>
      <c r="DA129" s="139">
        <v>88657</v>
      </c>
      <c r="DB129" s="139">
        <v>-75225</v>
      </c>
      <c r="DC129" s="146">
        <v>45337</v>
      </c>
      <c r="DD129" s="146">
        <v>32492</v>
      </c>
      <c r="DE129" s="160"/>
      <c r="DG129" s="138">
        <v>-642</v>
      </c>
      <c r="DH129" s="138">
        <v>265</v>
      </c>
      <c r="DI129" s="139">
        <v>2227</v>
      </c>
      <c r="DJ129" s="138">
        <v>5614</v>
      </c>
      <c r="DM129" s="139">
        <v>-3387</v>
      </c>
      <c r="DQ129" s="138">
        <v>-3387</v>
      </c>
      <c r="DR129" s="139">
        <v>9760</v>
      </c>
      <c r="DS129" s="139">
        <v>1719</v>
      </c>
      <c r="DT129" s="176"/>
      <c r="DU129" s="138">
        <v>576</v>
      </c>
      <c r="DV129" s="151">
        <v>-4378</v>
      </c>
      <c r="DW129" s="138">
        <v>-11667</v>
      </c>
      <c r="DX129" s="138">
        <v>45337</v>
      </c>
      <c r="DY129" s="146">
        <v>40677</v>
      </c>
      <c r="DZ129" s="196">
        <v>2381</v>
      </c>
      <c r="EA129" s="146">
        <v>2279</v>
      </c>
      <c r="EB129" s="114">
        <v>20</v>
      </c>
      <c r="EC129" s="152"/>
      <c r="ED129" s="138">
        <v>223</v>
      </c>
      <c r="EE129" s="138">
        <v>31876</v>
      </c>
      <c r="EF129" s="138">
        <v>33348</v>
      </c>
      <c r="EG129" s="138">
        <v>35442</v>
      </c>
      <c r="EH129" s="138"/>
      <c r="EI129" s="138"/>
      <c r="EJ129" s="138"/>
      <c r="EK129" s="3">
        <v>-8799</v>
      </c>
      <c r="EL129" s="138">
        <v>364</v>
      </c>
      <c r="EM129" s="138">
        <v>1027</v>
      </c>
      <c r="EN129" s="3">
        <v>-10766</v>
      </c>
      <c r="EO129" s="138">
        <v>157</v>
      </c>
      <c r="EP129" s="138">
        <v>2100</v>
      </c>
      <c r="EQ129" s="3">
        <v>-14594</v>
      </c>
      <c r="ER129" s="138">
        <v>202</v>
      </c>
      <c r="ES129" s="138">
        <v>1006</v>
      </c>
      <c r="ET129" s="163">
        <v>5000</v>
      </c>
      <c r="EU129" s="163"/>
      <c r="EV129" s="138">
        <v>4000</v>
      </c>
      <c r="EW129" s="138">
        <v>4000</v>
      </c>
      <c r="EX129" s="138">
        <v>13000</v>
      </c>
      <c r="EY129" s="138"/>
      <c r="EZ129" s="138">
        <v>24257</v>
      </c>
      <c r="FA129" s="138">
        <v>20932</v>
      </c>
      <c r="FB129" s="138">
        <v>3325</v>
      </c>
      <c r="FC129" s="138">
        <v>2243</v>
      </c>
      <c r="FD129" s="138">
        <v>28931</v>
      </c>
      <c r="FE129" s="138">
        <v>21326</v>
      </c>
      <c r="FF129" s="138">
        <v>7605</v>
      </c>
      <c r="FG129" s="138">
        <v>2230</v>
      </c>
      <c r="FH129" s="138">
        <v>37553</v>
      </c>
      <c r="FI129" s="138">
        <v>28771</v>
      </c>
      <c r="FJ129" s="138">
        <v>8782</v>
      </c>
      <c r="FK129" s="138">
        <v>2168</v>
      </c>
      <c r="FL129" s="147">
        <v>4263</v>
      </c>
      <c r="FM129" s="147">
        <v>4855.699658703072</v>
      </c>
      <c r="FO129" s="181">
        <f t="shared" si="6"/>
        <v>2033.85</v>
      </c>
      <c r="FP129" s="179">
        <f t="shared" si="5"/>
        <v>138.43248026136672</v>
      </c>
      <c r="FR129" s="184"/>
      <c r="FV129" s="184">
        <v>2937</v>
      </c>
      <c r="FW129" s="2">
        <f t="shared" si="7"/>
        <v>-2937</v>
      </c>
    </row>
    <row r="130" spans="1:179" ht="12.75">
      <c r="A130" s="82">
        <v>410</v>
      </c>
      <c r="B130" s="80" t="s">
        <v>127</v>
      </c>
      <c r="C130" s="191">
        <v>18286</v>
      </c>
      <c r="D130" s="146"/>
      <c r="E130" s="150">
        <v>36.88505747126437</v>
      </c>
      <c r="F130" s="150">
        <v>43.1</v>
      </c>
      <c r="G130" s="151">
        <v>-2067</v>
      </c>
      <c r="H130" s="152"/>
      <c r="I130" s="152"/>
      <c r="J130" s="152"/>
      <c r="K130" s="150">
        <v>43.1</v>
      </c>
      <c r="L130" s="151">
        <v>26</v>
      </c>
      <c r="M130" s="151">
        <v>2</v>
      </c>
      <c r="N130" s="154">
        <v>5187.356447555507</v>
      </c>
      <c r="O130" s="146">
        <v>35824</v>
      </c>
      <c r="P130" s="139">
        <v>12431</v>
      </c>
      <c r="Q130" s="139">
        <v>93872</v>
      </c>
      <c r="R130" s="139">
        <v>-81441</v>
      </c>
      <c r="S130" s="146">
        <v>53748</v>
      </c>
      <c r="T130" s="139">
        <v>30936</v>
      </c>
      <c r="U130" s="160"/>
      <c r="W130" s="138">
        <v>-315</v>
      </c>
      <c r="X130" s="138">
        <v>257</v>
      </c>
      <c r="Y130" s="139">
        <v>3185</v>
      </c>
      <c r="Z130" s="138">
        <v>3306</v>
      </c>
      <c r="AC130" s="139">
        <v>-121</v>
      </c>
      <c r="AF130" s="139"/>
      <c r="AG130" s="139">
        <v>-121</v>
      </c>
      <c r="AH130" s="139">
        <v>-533</v>
      </c>
      <c r="AI130" s="139">
        <v>2820</v>
      </c>
      <c r="AJ130" s="176"/>
      <c r="AK130" s="139">
        <v>735</v>
      </c>
      <c r="AL130" s="151">
        <v>-63</v>
      </c>
      <c r="AM130" s="151">
        <v>-5423</v>
      </c>
      <c r="AN130" s="146">
        <v>53748</v>
      </c>
      <c r="AO130" s="139">
        <v>48531</v>
      </c>
      <c r="AP130" s="139">
        <v>2211</v>
      </c>
      <c r="AQ130" s="139">
        <v>3006</v>
      </c>
      <c r="AR130" s="114">
        <v>20</v>
      </c>
      <c r="AS130" s="152"/>
      <c r="AT130" s="138">
        <v>218</v>
      </c>
      <c r="AU130" s="191">
        <v>18481</v>
      </c>
      <c r="AV130" s="146"/>
      <c r="AW130" s="150">
        <v>9.008810572687224</v>
      </c>
      <c r="AX130" s="150">
        <v>51.4</v>
      </c>
      <c r="AY130" s="151">
        <v>-2590</v>
      </c>
      <c r="AZ130" s="152"/>
      <c r="BA130" s="152"/>
      <c r="BB130" s="152"/>
      <c r="BC130" s="150">
        <v>36.6</v>
      </c>
      <c r="BD130" s="151">
        <v>30</v>
      </c>
      <c r="BE130" s="151">
        <v>2</v>
      </c>
      <c r="BF130" s="154">
        <v>6038.417834532764</v>
      </c>
      <c r="BG130" s="146">
        <v>37679</v>
      </c>
      <c r="BH130" s="139">
        <v>12985</v>
      </c>
      <c r="BI130" s="139">
        <v>98790</v>
      </c>
      <c r="BJ130" s="139">
        <v>-85805</v>
      </c>
      <c r="BK130" s="146">
        <v>55895</v>
      </c>
      <c r="BL130" s="146">
        <v>31936</v>
      </c>
      <c r="BM130" s="160"/>
      <c r="BO130" s="138">
        <v>-209</v>
      </c>
      <c r="BP130" s="138">
        <v>7</v>
      </c>
      <c r="BQ130" s="139">
        <v>1824</v>
      </c>
      <c r="BR130" s="138">
        <v>3585</v>
      </c>
      <c r="BU130" s="139">
        <v>-1761</v>
      </c>
      <c r="BX130" s="139"/>
      <c r="BY130" s="138">
        <v>-1761</v>
      </c>
      <c r="BZ130" s="139">
        <v>-2294</v>
      </c>
      <c r="CA130" s="139">
        <v>1411</v>
      </c>
      <c r="CB130" s="176"/>
      <c r="CC130" s="139">
        <v>190</v>
      </c>
      <c r="CD130" s="151">
        <v>-6</v>
      </c>
      <c r="CE130" s="151">
        <v>-9778</v>
      </c>
      <c r="CF130" s="138">
        <v>55895</v>
      </c>
      <c r="CG130" s="139">
        <v>51065</v>
      </c>
      <c r="CH130" s="139">
        <v>1704</v>
      </c>
      <c r="CI130" s="139">
        <v>3126</v>
      </c>
      <c r="CJ130" s="114">
        <v>20.25</v>
      </c>
      <c r="CK130" s="152"/>
      <c r="CL130" s="138">
        <v>191</v>
      </c>
      <c r="CM130" s="190">
        <v>18588</v>
      </c>
      <c r="CN130" s="146"/>
      <c r="CO130" s="150">
        <v>14.376237623762377</v>
      </c>
      <c r="CP130" s="150">
        <v>60.57365320647427</v>
      </c>
      <c r="CQ130" s="151">
        <v>-3212.0185065633746</v>
      </c>
      <c r="CR130" s="152"/>
      <c r="CS130" s="152"/>
      <c r="CT130" s="152"/>
      <c r="CU130" s="150">
        <v>31.167383508775618</v>
      </c>
      <c r="CV130" s="151">
        <v>47.234775123735744</v>
      </c>
      <c r="CW130" s="151">
        <v>2.659369657942343</v>
      </c>
      <c r="CX130" s="154">
        <v>6482.999784807403</v>
      </c>
      <c r="CY130" s="146">
        <v>40228</v>
      </c>
      <c r="CZ130" s="139">
        <v>14662</v>
      </c>
      <c r="DA130" s="139">
        <v>106436</v>
      </c>
      <c r="DB130" s="139">
        <v>-91774</v>
      </c>
      <c r="DC130" s="146">
        <v>60470</v>
      </c>
      <c r="DD130" s="146">
        <v>32494</v>
      </c>
      <c r="DE130" s="160"/>
      <c r="DG130" s="138">
        <v>-86</v>
      </c>
      <c r="DH130" s="138">
        <v>253</v>
      </c>
      <c r="DI130" s="139">
        <v>1357</v>
      </c>
      <c r="DJ130" s="138">
        <v>5538</v>
      </c>
      <c r="DM130" s="139">
        <v>-4181</v>
      </c>
      <c r="DP130" s="139"/>
      <c r="DQ130" s="138">
        <v>-4181</v>
      </c>
      <c r="DR130" s="139">
        <v>-2733</v>
      </c>
      <c r="DS130" s="139">
        <v>805</v>
      </c>
      <c r="DT130" s="176"/>
      <c r="DU130" s="139">
        <v>-1202</v>
      </c>
      <c r="DV130" s="151">
        <v>-6</v>
      </c>
      <c r="DW130" s="138">
        <v>-11921</v>
      </c>
      <c r="DX130" s="138">
        <v>60470</v>
      </c>
      <c r="DY130" s="146">
        <v>54910</v>
      </c>
      <c r="DZ130" s="196">
        <v>1857</v>
      </c>
      <c r="EA130" s="146">
        <v>3703</v>
      </c>
      <c r="EB130" s="114">
        <v>20.5</v>
      </c>
      <c r="EC130" s="152"/>
      <c r="ED130" s="138">
        <v>254</v>
      </c>
      <c r="EE130" s="138">
        <v>45782</v>
      </c>
      <c r="EF130" s="138">
        <v>47597</v>
      </c>
      <c r="EG130" s="138">
        <v>52080</v>
      </c>
      <c r="EH130" s="138"/>
      <c r="EI130" s="138"/>
      <c r="EJ130" s="138"/>
      <c r="EK130" s="3">
        <v>-9164</v>
      </c>
      <c r="EL130" s="138">
        <v>181</v>
      </c>
      <c r="EM130" s="138">
        <v>740</v>
      </c>
      <c r="EN130" s="3">
        <v>-12045</v>
      </c>
      <c r="EO130" s="138">
        <v>15</v>
      </c>
      <c r="EP130" s="138">
        <v>841</v>
      </c>
      <c r="EQ130" s="3">
        <v>-13925</v>
      </c>
      <c r="ER130" s="138">
        <v>590</v>
      </c>
      <c r="ES130" s="138">
        <v>609</v>
      </c>
      <c r="ET130" s="163"/>
      <c r="EU130" s="163">
        <v>2900</v>
      </c>
      <c r="EV130" s="138"/>
      <c r="EW130" s="138">
        <v>9300</v>
      </c>
      <c r="EX130" s="138"/>
      <c r="EY130" s="138">
        <v>11300</v>
      </c>
      <c r="EZ130" s="138">
        <v>27138</v>
      </c>
      <c r="FA130" s="138">
        <v>32</v>
      </c>
      <c r="FB130" s="138">
        <v>27106</v>
      </c>
      <c r="FC130" s="138">
        <v>370</v>
      </c>
      <c r="FD130" s="138">
        <v>36431</v>
      </c>
      <c r="FE130" s="138">
        <v>25</v>
      </c>
      <c r="FF130" s="138">
        <v>36406</v>
      </c>
      <c r="FG130" s="138">
        <v>355</v>
      </c>
      <c r="FH130" s="138">
        <v>47725</v>
      </c>
      <c r="FI130" s="138">
        <v>19</v>
      </c>
      <c r="FJ130" s="138">
        <v>47706</v>
      </c>
      <c r="FK130" s="138">
        <v>289</v>
      </c>
      <c r="FL130" s="147">
        <v>3465</v>
      </c>
      <c r="FM130" s="147">
        <v>3938.3691358692713</v>
      </c>
      <c r="FO130" s="181">
        <f t="shared" si="6"/>
        <v>2678.5365853658536</v>
      </c>
      <c r="FP130" s="179">
        <f t="shared" si="5"/>
        <v>144.1003112419762</v>
      </c>
      <c r="FR130" s="184"/>
      <c r="FV130" s="184">
        <v>63</v>
      </c>
      <c r="FW130" s="2">
        <f t="shared" si="7"/>
        <v>-63</v>
      </c>
    </row>
    <row r="131" spans="1:179" ht="12.75">
      <c r="A131" s="82">
        <v>413</v>
      </c>
      <c r="B131" s="80" t="s">
        <v>128</v>
      </c>
      <c r="C131" s="191">
        <v>1945</v>
      </c>
      <c r="D131" s="146"/>
      <c r="E131" s="150">
        <v>1.1128284389489953</v>
      </c>
      <c r="F131" s="150">
        <v>38.6</v>
      </c>
      <c r="G131" s="151">
        <v>-2253</v>
      </c>
      <c r="H131" s="152"/>
      <c r="I131" s="152"/>
      <c r="J131" s="152"/>
      <c r="K131" s="150">
        <v>30.2</v>
      </c>
      <c r="L131" s="151">
        <v>330</v>
      </c>
      <c r="M131" s="151">
        <v>17</v>
      </c>
      <c r="N131" s="154">
        <v>16330.077120822622</v>
      </c>
      <c r="O131" s="146">
        <v>3746</v>
      </c>
      <c r="P131" s="139">
        <v>1722</v>
      </c>
      <c r="Q131" s="139">
        <v>13365</v>
      </c>
      <c r="R131" s="139">
        <v>-11643</v>
      </c>
      <c r="S131" s="146">
        <v>5066</v>
      </c>
      <c r="T131" s="139">
        <v>7062</v>
      </c>
      <c r="U131" s="160"/>
      <c r="W131" s="138">
        <v>-77</v>
      </c>
      <c r="X131" s="138">
        <v>32</v>
      </c>
      <c r="Y131" s="139">
        <v>440</v>
      </c>
      <c r="Z131" s="138">
        <v>426</v>
      </c>
      <c r="AC131" s="139">
        <v>14</v>
      </c>
      <c r="AG131" s="139">
        <v>14</v>
      </c>
      <c r="AH131" s="139">
        <v>-3643</v>
      </c>
      <c r="AI131" s="139">
        <v>442</v>
      </c>
      <c r="AJ131" s="176"/>
      <c r="AK131" s="138">
        <v>114</v>
      </c>
      <c r="AL131" s="151">
        <v>-294</v>
      </c>
      <c r="AM131" s="151">
        <v>303</v>
      </c>
      <c r="AN131" s="146">
        <v>5066</v>
      </c>
      <c r="AO131" s="139">
        <v>4283</v>
      </c>
      <c r="AP131" s="139">
        <v>501</v>
      </c>
      <c r="AQ131" s="139">
        <v>282</v>
      </c>
      <c r="AR131" s="114">
        <v>21</v>
      </c>
      <c r="AS131" s="152"/>
      <c r="AT131" s="138">
        <v>184</v>
      </c>
      <c r="AU131" s="191">
        <v>1916</v>
      </c>
      <c r="AV131" s="146"/>
      <c r="AW131" s="150">
        <v>-1.1424501424501425</v>
      </c>
      <c r="AX131" s="150">
        <v>39.8</v>
      </c>
      <c r="AY131" s="151">
        <v>-2523</v>
      </c>
      <c r="AZ131" s="152"/>
      <c r="BA131" s="152"/>
      <c r="BB131" s="152"/>
      <c r="BC131" s="150">
        <v>21.5</v>
      </c>
      <c r="BD131" s="151">
        <v>114</v>
      </c>
      <c r="BE131" s="151">
        <v>5</v>
      </c>
      <c r="BF131" s="154">
        <v>7825.678496868476</v>
      </c>
      <c r="BG131" s="146">
        <v>6268</v>
      </c>
      <c r="BH131" s="139">
        <v>2036</v>
      </c>
      <c r="BI131" s="139">
        <v>14314</v>
      </c>
      <c r="BJ131" s="139">
        <v>-12278</v>
      </c>
      <c r="BK131" s="146">
        <v>4939</v>
      </c>
      <c r="BL131" s="146">
        <v>6922</v>
      </c>
      <c r="BM131" s="160"/>
      <c r="BO131" s="138">
        <v>-55</v>
      </c>
      <c r="BP131" s="138">
        <v>14</v>
      </c>
      <c r="BQ131" s="139">
        <v>-458</v>
      </c>
      <c r="BR131" s="138">
        <v>402</v>
      </c>
      <c r="BU131" s="139">
        <v>-860</v>
      </c>
      <c r="BY131" s="138">
        <v>-860</v>
      </c>
      <c r="BZ131" s="139">
        <v>-4503</v>
      </c>
      <c r="CA131" s="139">
        <v>-451</v>
      </c>
      <c r="CB131" s="176"/>
      <c r="CC131" s="138">
        <v>-148</v>
      </c>
      <c r="CD131" s="151">
        <v>-294</v>
      </c>
      <c r="CE131" s="151">
        <v>-456</v>
      </c>
      <c r="CF131" s="138">
        <v>4939</v>
      </c>
      <c r="CG131" s="139">
        <v>4313</v>
      </c>
      <c r="CH131" s="139">
        <v>335</v>
      </c>
      <c r="CI131" s="139">
        <v>291</v>
      </c>
      <c r="CJ131" s="114">
        <v>21</v>
      </c>
      <c r="CK131" s="152"/>
      <c r="CL131" s="138">
        <v>312</v>
      </c>
      <c r="CM131" s="190">
        <v>1902</v>
      </c>
      <c r="CN131" s="146"/>
      <c r="CO131" s="150">
        <v>0.770949720670391</v>
      </c>
      <c r="CP131" s="150">
        <v>46.78670360110803</v>
      </c>
      <c r="CQ131" s="151">
        <v>-2687.1713985278657</v>
      </c>
      <c r="CR131" s="152"/>
      <c r="CS131" s="152"/>
      <c r="CT131" s="152"/>
      <c r="CU131" s="150">
        <v>15.670650730411687</v>
      </c>
      <c r="CV131" s="151">
        <v>650.3680336487907</v>
      </c>
      <c r="CW131" s="151">
        <v>30.213129014989292</v>
      </c>
      <c r="CX131" s="154">
        <v>7856.992639327024</v>
      </c>
      <c r="CY131" s="146">
        <v>6520</v>
      </c>
      <c r="CZ131" s="139">
        <v>1963</v>
      </c>
      <c r="DA131" s="139">
        <v>14308</v>
      </c>
      <c r="DB131" s="139">
        <v>-12345</v>
      </c>
      <c r="DC131" s="146">
        <v>5262</v>
      </c>
      <c r="DD131" s="146">
        <v>7215</v>
      </c>
      <c r="DE131" s="160"/>
      <c r="DG131" s="138">
        <v>-31</v>
      </c>
      <c r="DH131" s="138">
        <v>5</v>
      </c>
      <c r="DI131" s="139">
        <v>106</v>
      </c>
      <c r="DJ131" s="138">
        <v>387</v>
      </c>
      <c r="DM131" s="139">
        <v>-281</v>
      </c>
      <c r="DQ131" s="138">
        <v>-281</v>
      </c>
      <c r="DR131" s="139">
        <v>-4784</v>
      </c>
      <c r="DS131" s="139">
        <v>106</v>
      </c>
      <c r="DT131" s="176"/>
      <c r="DU131" s="138">
        <v>64</v>
      </c>
      <c r="DV131" s="151">
        <v>-147</v>
      </c>
      <c r="DW131" s="138">
        <v>-344</v>
      </c>
      <c r="DX131" s="138">
        <v>5262</v>
      </c>
      <c r="DY131" s="146">
        <v>4584</v>
      </c>
      <c r="DZ131" s="196">
        <v>371</v>
      </c>
      <c r="EA131" s="146">
        <v>307</v>
      </c>
      <c r="EB131" s="114">
        <v>21</v>
      </c>
      <c r="EC131" s="152"/>
      <c r="ED131" s="138">
        <v>260</v>
      </c>
      <c r="EE131" s="138">
        <v>8708</v>
      </c>
      <c r="EF131" s="138">
        <v>6566</v>
      </c>
      <c r="EG131" s="138">
        <v>6293</v>
      </c>
      <c r="EH131" s="138">
        <v>500</v>
      </c>
      <c r="EI131" s="138"/>
      <c r="EJ131" s="138">
        <v>250</v>
      </c>
      <c r="EK131" s="3">
        <v>-144</v>
      </c>
      <c r="EL131" s="138"/>
      <c r="EM131" s="138">
        <v>5</v>
      </c>
      <c r="EN131" s="3">
        <v>-328</v>
      </c>
      <c r="EO131" s="138"/>
      <c r="EP131" s="138">
        <v>323</v>
      </c>
      <c r="EQ131" s="3">
        <v>-450</v>
      </c>
      <c r="ET131" s="163"/>
      <c r="EU131" s="163">
        <v>-300</v>
      </c>
      <c r="EV131" s="138"/>
      <c r="EW131" s="138">
        <v>-300</v>
      </c>
      <c r="EX131" s="138">
        <v>1000</v>
      </c>
      <c r="EY131" s="138">
        <v>553</v>
      </c>
      <c r="EZ131" s="138">
        <v>3968</v>
      </c>
      <c r="FA131" s="138">
        <v>2873</v>
      </c>
      <c r="FB131" s="138">
        <v>1095</v>
      </c>
      <c r="FC131" s="138">
        <v>8</v>
      </c>
      <c r="FD131" s="138">
        <v>3374</v>
      </c>
      <c r="FE131" s="138">
        <v>2579</v>
      </c>
      <c r="FF131" s="138">
        <v>795</v>
      </c>
      <c r="FG131" s="138">
        <v>7</v>
      </c>
      <c r="FH131" s="138">
        <v>4779</v>
      </c>
      <c r="FI131" s="138">
        <v>3218</v>
      </c>
      <c r="FJ131" s="138">
        <v>1561</v>
      </c>
      <c r="FK131" s="138">
        <v>6</v>
      </c>
      <c r="FL131" s="147">
        <v>2258</v>
      </c>
      <c r="FM131" s="147">
        <v>1975.4697286012527</v>
      </c>
      <c r="FO131" s="181">
        <f t="shared" si="6"/>
        <v>218.28571428571428</v>
      </c>
      <c r="FP131" s="179">
        <f aca="true" t="shared" si="8" ref="FP131:FP194">(FO131/CM131)*1000</f>
        <v>114.76641129637976</v>
      </c>
      <c r="FR131" s="184"/>
      <c r="FV131" s="184">
        <v>294</v>
      </c>
      <c r="FW131" s="2">
        <f t="shared" si="7"/>
        <v>-294</v>
      </c>
    </row>
    <row r="132" spans="1:179" ht="12.75">
      <c r="A132" s="82">
        <v>416</v>
      </c>
      <c r="B132" s="80" t="s">
        <v>129</v>
      </c>
      <c r="C132" s="191">
        <v>3068</v>
      </c>
      <c r="D132" s="146"/>
      <c r="E132" s="150">
        <v>2.702830188679245</v>
      </c>
      <c r="F132" s="150">
        <v>13.4</v>
      </c>
      <c r="G132" s="151">
        <v>-240</v>
      </c>
      <c r="H132" s="152"/>
      <c r="I132" s="152"/>
      <c r="J132" s="152"/>
      <c r="K132" s="150">
        <v>78.9</v>
      </c>
      <c r="L132" s="151">
        <v>322</v>
      </c>
      <c r="M132" s="151">
        <v>22</v>
      </c>
      <c r="N132" s="154">
        <v>6704.6936114732725</v>
      </c>
      <c r="O132" s="146">
        <v>4682</v>
      </c>
      <c r="P132" s="139">
        <v>1782</v>
      </c>
      <c r="Q132" s="139">
        <v>15696</v>
      </c>
      <c r="R132" s="139">
        <v>-13914</v>
      </c>
      <c r="S132" s="146">
        <v>8820</v>
      </c>
      <c r="T132" s="139">
        <v>5563</v>
      </c>
      <c r="U132" s="160"/>
      <c r="W132" s="138">
        <v>-14</v>
      </c>
      <c r="X132" s="138">
        <v>16</v>
      </c>
      <c r="Y132" s="139">
        <v>471</v>
      </c>
      <c r="Z132" s="138">
        <v>689</v>
      </c>
      <c r="AC132" s="139">
        <v>-218</v>
      </c>
      <c r="AD132" s="138">
        <v>19</v>
      </c>
      <c r="AG132" s="139">
        <v>-199</v>
      </c>
      <c r="AH132" s="139">
        <v>491</v>
      </c>
      <c r="AI132" s="139">
        <v>471</v>
      </c>
      <c r="AJ132" s="176"/>
      <c r="AK132" s="138">
        <v>82</v>
      </c>
      <c r="AL132" s="151">
        <v>-110</v>
      </c>
      <c r="AM132" s="151">
        <v>-32</v>
      </c>
      <c r="AN132" s="146">
        <v>8820</v>
      </c>
      <c r="AO132" s="139">
        <v>7915</v>
      </c>
      <c r="AP132" s="139">
        <v>392</v>
      </c>
      <c r="AQ132" s="139">
        <v>513</v>
      </c>
      <c r="AR132" s="114">
        <v>19.5</v>
      </c>
      <c r="AS132" s="152"/>
      <c r="AT132" s="138">
        <v>232</v>
      </c>
      <c r="AU132" s="191">
        <v>3059</v>
      </c>
      <c r="AV132" s="146"/>
      <c r="AW132" s="150">
        <v>0</v>
      </c>
      <c r="AX132" s="150">
        <v>25.5</v>
      </c>
      <c r="AY132" s="151">
        <v>-1096</v>
      </c>
      <c r="AZ132" s="152"/>
      <c r="BA132" s="152"/>
      <c r="BB132" s="152"/>
      <c r="BC132" s="150">
        <v>64.9</v>
      </c>
      <c r="BD132" s="151">
        <v>96</v>
      </c>
      <c r="BE132" s="151">
        <v>6</v>
      </c>
      <c r="BF132" s="154">
        <v>6218.045112781954</v>
      </c>
      <c r="BG132" s="146">
        <v>5076</v>
      </c>
      <c r="BH132" s="139">
        <v>2019</v>
      </c>
      <c r="BI132" s="139">
        <v>16120</v>
      </c>
      <c r="BJ132" s="139">
        <v>-14101</v>
      </c>
      <c r="BK132" s="146">
        <v>8771</v>
      </c>
      <c r="BL132" s="146">
        <v>5312</v>
      </c>
      <c r="BM132" s="160"/>
      <c r="BO132" s="138">
        <v>-40</v>
      </c>
      <c r="BP132" s="138">
        <v>9</v>
      </c>
      <c r="BQ132" s="139">
        <v>-49</v>
      </c>
      <c r="BR132" s="138">
        <v>719</v>
      </c>
      <c r="BU132" s="139">
        <v>-768</v>
      </c>
      <c r="BV132" s="138">
        <v>19</v>
      </c>
      <c r="BY132" s="138">
        <v>-749</v>
      </c>
      <c r="BZ132" s="139">
        <v>-258</v>
      </c>
      <c r="CA132" s="139">
        <v>-369</v>
      </c>
      <c r="CB132" s="176"/>
      <c r="CC132" s="138">
        <v>-22</v>
      </c>
      <c r="CD132" s="151">
        <v>-110</v>
      </c>
      <c r="CE132" s="151">
        <v>-2595</v>
      </c>
      <c r="CF132" s="138">
        <v>8771</v>
      </c>
      <c r="CG132" s="139">
        <v>7987</v>
      </c>
      <c r="CH132" s="139">
        <v>262</v>
      </c>
      <c r="CI132" s="139">
        <v>522</v>
      </c>
      <c r="CJ132" s="114">
        <v>19.5</v>
      </c>
      <c r="CK132" s="152"/>
      <c r="CL132" s="138">
        <v>250</v>
      </c>
      <c r="CM132" s="190">
        <v>3130</v>
      </c>
      <c r="CN132" s="146"/>
      <c r="CO132" s="150">
        <v>2.4116222760290555</v>
      </c>
      <c r="CP132" s="150">
        <v>30.016181229773462</v>
      </c>
      <c r="CQ132" s="151">
        <v>-1430.6709265175718</v>
      </c>
      <c r="CR132" s="152"/>
      <c r="CS132" s="152"/>
      <c r="CT132" s="152"/>
      <c r="CU132" s="150">
        <v>59.993997599039616</v>
      </c>
      <c r="CV132" s="151">
        <v>77.95527156549521</v>
      </c>
      <c r="CW132" s="151">
        <v>4.704701531959852</v>
      </c>
      <c r="CX132" s="154">
        <v>6047.923322683706</v>
      </c>
      <c r="CY132" s="146">
        <v>5123</v>
      </c>
      <c r="CZ132" s="139">
        <v>2603</v>
      </c>
      <c r="DA132" s="139">
        <v>16337</v>
      </c>
      <c r="DB132" s="139">
        <v>-13734</v>
      </c>
      <c r="DC132" s="146">
        <v>9134</v>
      </c>
      <c r="DD132" s="146">
        <v>5567</v>
      </c>
      <c r="DE132" s="160"/>
      <c r="DG132" s="138">
        <v>-74</v>
      </c>
      <c r="DH132" s="138">
        <v>22</v>
      </c>
      <c r="DI132" s="139">
        <v>915</v>
      </c>
      <c r="DJ132" s="138">
        <v>782</v>
      </c>
      <c r="DM132" s="139">
        <v>133</v>
      </c>
      <c r="DN132" s="138">
        <v>19</v>
      </c>
      <c r="DQ132" s="138">
        <v>152</v>
      </c>
      <c r="DR132" s="139">
        <v>-106</v>
      </c>
      <c r="DS132" s="139">
        <v>701</v>
      </c>
      <c r="DT132" s="176"/>
      <c r="DU132" s="138">
        <v>-6</v>
      </c>
      <c r="DV132" s="151">
        <v>-332</v>
      </c>
      <c r="DW132" s="138">
        <v>-1127</v>
      </c>
      <c r="DX132" s="138">
        <v>9134</v>
      </c>
      <c r="DY132" s="146">
        <v>8240</v>
      </c>
      <c r="DZ132" s="196">
        <v>338</v>
      </c>
      <c r="EA132" s="146">
        <v>556</v>
      </c>
      <c r="EB132" s="114">
        <v>20</v>
      </c>
      <c r="EC132" s="152"/>
      <c r="ED132" s="138">
        <v>148</v>
      </c>
      <c r="EE132" s="138">
        <v>9589</v>
      </c>
      <c r="EF132" s="138">
        <v>9652</v>
      </c>
      <c r="EG132" s="138">
        <v>9909</v>
      </c>
      <c r="EH132" s="138"/>
      <c r="EI132" s="138"/>
      <c r="EJ132" s="138"/>
      <c r="EK132" s="3">
        <v>-544</v>
      </c>
      <c r="EL132" s="138">
        <v>26</v>
      </c>
      <c r="EM132" s="138">
        <v>15</v>
      </c>
      <c r="EN132" s="3">
        <v>-2740</v>
      </c>
      <c r="EO132" s="138">
        <v>52</v>
      </c>
      <c r="EP132" s="138">
        <v>462</v>
      </c>
      <c r="EQ132" s="3">
        <v>-2177</v>
      </c>
      <c r="ER132" s="138">
        <v>6</v>
      </c>
      <c r="ES132" s="138">
        <v>343</v>
      </c>
      <c r="ET132" s="163"/>
      <c r="EU132" s="163"/>
      <c r="EV132" s="138">
        <v>1735</v>
      </c>
      <c r="EW132" s="138">
        <v>315</v>
      </c>
      <c r="EX132" s="138">
        <v>1220</v>
      </c>
      <c r="EY132" s="138"/>
      <c r="EZ132" s="138">
        <v>840</v>
      </c>
      <c r="FA132" s="138">
        <v>730</v>
      </c>
      <c r="FB132" s="138">
        <v>110</v>
      </c>
      <c r="FC132" s="138">
        <v>458</v>
      </c>
      <c r="FD132" s="138">
        <v>2780</v>
      </c>
      <c r="FE132" s="138">
        <v>2465</v>
      </c>
      <c r="FF132" s="138">
        <v>315</v>
      </c>
      <c r="FG132" s="138">
        <v>458</v>
      </c>
      <c r="FH132" s="138">
        <v>3668</v>
      </c>
      <c r="FI132" s="138">
        <v>3248</v>
      </c>
      <c r="FJ132" s="138">
        <v>420</v>
      </c>
      <c r="FK132" s="138">
        <v>458</v>
      </c>
      <c r="FL132" s="147">
        <v>1713</v>
      </c>
      <c r="FM132" s="147">
        <v>2424.648577966656</v>
      </c>
      <c r="FO132" s="181">
        <f t="shared" si="6"/>
        <v>412</v>
      </c>
      <c r="FP132" s="179">
        <f t="shared" si="8"/>
        <v>131.629392971246</v>
      </c>
      <c r="FR132" s="184"/>
      <c r="FV132" s="184">
        <v>110</v>
      </c>
      <c r="FW132" s="2">
        <f t="shared" si="7"/>
        <v>-110</v>
      </c>
    </row>
    <row r="133" spans="1:179" ht="12.75">
      <c r="A133" s="82">
        <v>418</v>
      </c>
      <c r="B133" s="80" t="s">
        <v>130</v>
      </c>
      <c r="C133" s="191">
        <v>20888</v>
      </c>
      <c r="D133" s="146"/>
      <c r="E133" s="150">
        <v>1.6094177413051973</v>
      </c>
      <c r="F133" s="150">
        <v>43.2</v>
      </c>
      <c r="G133" s="151">
        <v>-1746</v>
      </c>
      <c r="H133" s="152"/>
      <c r="I133" s="152"/>
      <c r="J133" s="152"/>
      <c r="K133" s="150">
        <v>55.4</v>
      </c>
      <c r="L133" s="151">
        <v>415</v>
      </c>
      <c r="M133" s="151">
        <v>24</v>
      </c>
      <c r="N133" s="154">
        <v>5426.129835312141</v>
      </c>
      <c r="O133" s="146">
        <v>54759</v>
      </c>
      <c r="P133" s="139">
        <v>23156</v>
      </c>
      <c r="Q133" s="139">
        <v>111396</v>
      </c>
      <c r="R133" s="139">
        <v>-88240</v>
      </c>
      <c r="S133" s="146">
        <v>73038</v>
      </c>
      <c r="T133" s="139">
        <v>24077</v>
      </c>
      <c r="U133" s="160"/>
      <c r="W133" s="138">
        <v>-868</v>
      </c>
      <c r="X133" s="138">
        <v>196</v>
      </c>
      <c r="Y133" s="139">
        <v>8203</v>
      </c>
      <c r="Z133" s="138">
        <v>6891</v>
      </c>
      <c r="AC133" s="139">
        <v>1312</v>
      </c>
      <c r="AD133" s="139">
        <v>150</v>
      </c>
      <c r="AG133" s="139">
        <v>1462</v>
      </c>
      <c r="AH133" s="139">
        <v>18442</v>
      </c>
      <c r="AI133" s="139">
        <v>6417</v>
      </c>
      <c r="AJ133" s="176"/>
      <c r="AK133" s="138">
        <v>-546</v>
      </c>
      <c r="AL133" s="151">
        <v>-5084</v>
      </c>
      <c r="AM133" s="151">
        <v>-3048</v>
      </c>
      <c r="AN133" s="146">
        <v>73038</v>
      </c>
      <c r="AO133" s="139">
        <v>65952</v>
      </c>
      <c r="AP133" s="139">
        <v>3210</v>
      </c>
      <c r="AQ133" s="139">
        <v>3876</v>
      </c>
      <c r="AR133" s="114">
        <v>20</v>
      </c>
      <c r="AS133" s="152"/>
      <c r="AT133" s="138">
        <v>77</v>
      </c>
      <c r="AU133" s="191">
        <v>21440</v>
      </c>
      <c r="AV133" s="146"/>
      <c r="AW133" s="150">
        <v>0.9778748180494905</v>
      </c>
      <c r="AX133" s="150">
        <v>48.4</v>
      </c>
      <c r="AY133" s="151">
        <v>-2278</v>
      </c>
      <c r="AZ133" s="152"/>
      <c r="BA133" s="152"/>
      <c r="BB133" s="152"/>
      <c r="BC133" s="150">
        <v>51.2</v>
      </c>
      <c r="BD133" s="151">
        <v>171</v>
      </c>
      <c r="BE133" s="151">
        <v>9</v>
      </c>
      <c r="BF133" s="154">
        <v>6753.638059701492</v>
      </c>
      <c r="BG133" s="146">
        <v>58527</v>
      </c>
      <c r="BH133" s="139">
        <v>23163</v>
      </c>
      <c r="BI133" s="139">
        <v>118799</v>
      </c>
      <c r="BJ133" s="139">
        <v>-95636</v>
      </c>
      <c r="BK133" s="146">
        <v>76373</v>
      </c>
      <c r="BL133" s="146">
        <v>25578</v>
      </c>
      <c r="BM133" s="160"/>
      <c r="BO133" s="138">
        <v>-938</v>
      </c>
      <c r="BP133" s="138">
        <v>346</v>
      </c>
      <c r="BQ133" s="139">
        <v>5723</v>
      </c>
      <c r="BR133" s="138">
        <v>6966</v>
      </c>
      <c r="BU133" s="139">
        <v>-1243</v>
      </c>
      <c r="BV133" s="139">
        <v>142</v>
      </c>
      <c r="BY133" s="138">
        <v>-1101</v>
      </c>
      <c r="BZ133" s="139">
        <v>17341</v>
      </c>
      <c r="CA133" s="139">
        <v>4436</v>
      </c>
      <c r="CB133" s="176"/>
      <c r="CC133" s="138">
        <v>-1198</v>
      </c>
      <c r="CD133" s="151">
        <v>-5875</v>
      </c>
      <c r="CE133" s="151">
        <v>-12070</v>
      </c>
      <c r="CF133" s="138">
        <v>76373</v>
      </c>
      <c r="CG133" s="139">
        <v>69606</v>
      </c>
      <c r="CH133" s="139">
        <v>2525</v>
      </c>
      <c r="CI133" s="139">
        <v>4242</v>
      </c>
      <c r="CJ133" s="114">
        <v>20</v>
      </c>
      <c r="CK133" s="152"/>
      <c r="CL133" s="138">
        <v>75</v>
      </c>
      <c r="CM133" s="190">
        <v>21829</v>
      </c>
      <c r="CN133" s="146"/>
      <c r="CO133" s="150">
        <v>1.2401555053925257</v>
      </c>
      <c r="CP133" s="150">
        <v>54.94926316103172</v>
      </c>
      <c r="CQ133" s="151">
        <v>-2751.8896880296857</v>
      </c>
      <c r="CR133" s="152"/>
      <c r="CS133" s="152"/>
      <c r="CT133" s="152"/>
      <c r="CU133" s="150">
        <v>48.22672841824175</v>
      </c>
      <c r="CV133" s="151">
        <v>288.1029822712905</v>
      </c>
      <c r="CW133" s="151">
        <v>14.382017192120694</v>
      </c>
      <c r="CX133" s="154">
        <v>7311.741261624445</v>
      </c>
      <c r="CY133" s="146">
        <v>60709</v>
      </c>
      <c r="CZ133" s="139">
        <v>23771</v>
      </c>
      <c r="DA133" s="139">
        <v>124750</v>
      </c>
      <c r="DB133" s="139">
        <v>-100979</v>
      </c>
      <c r="DC133" s="146">
        <v>85735</v>
      </c>
      <c r="DD133" s="146">
        <v>24830</v>
      </c>
      <c r="DE133" s="160"/>
      <c r="DG133" s="138">
        <v>-1086</v>
      </c>
      <c r="DH133" s="138">
        <v>284</v>
      </c>
      <c r="DI133" s="139">
        <v>8784</v>
      </c>
      <c r="DJ133" s="138">
        <v>7870</v>
      </c>
      <c r="DK133" s="138">
        <v>4169</v>
      </c>
      <c r="DM133" s="139">
        <v>5083</v>
      </c>
      <c r="DN133" s="139">
        <v>135</v>
      </c>
      <c r="DQ133" s="138">
        <v>5218</v>
      </c>
      <c r="DR133" s="139">
        <v>22558</v>
      </c>
      <c r="DS133" s="139">
        <v>7078</v>
      </c>
      <c r="DT133" s="176"/>
      <c r="DU133" s="138">
        <v>575</v>
      </c>
      <c r="DV133" s="151">
        <v>-6869</v>
      </c>
      <c r="DW133" s="138">
        <v>-11311</v>
      </c>
      <c r="DX133" s="138">
        <v>85735</v>
      </c>
      <c r="DY133" s="146">
        <v>78287</v>
      </c>
      <c r="DZ133" s="196">
        <v>3040</v>
      </c>
      <c r="EA133" s="146">
        <v>4408</v>
      </c>
      <c r="EB133" s="114">
        <v>20.5</v>
      </c>
      <c r="EC133" s="152"/>
      <c r="ED133" s="138">
        <v>86</v>
      </c>
      <c r="EE133" s="138">
        <v>40825</v>
      </c>
      <c r="EF133" s="138">
        <v>42689</v>
      </c>
      <c r="EG133" s="138">
        <v>45585</v>
      </c>
      <c r="EH133" s="138"/>
      <c r="EI133" s="138"/>
      <c r="EJ133" s="138"/>
      <c r="EK133" s="3">
        <v>-12913</v>
      </c>
      <c r="EL133" s="138">
        <v>694</v>
      </c>
      <c r="EM133" s="138">
        <v>2754</v>
      </c>
      <c r="EN133" s="3">
        <v>-19107</v>
      </c>
      <c r="EO133" s="138">
        <v>1003</v>
      </c>
      <c r="EP133" s="138">
        <v>1598</v>
      </c>
      <c r="EQ133" s="3">
        <v>-26926</v>
      </c>
      <c r="ER133" s="138">
        <v>670</v>
      </c>
      <c r="ES133" s="138">
        <v>7867</v>
      </c>
      <c r="ET133" s="163">
        <v>5000</v>
      </c>
      <c r="EU133" s="163"/>
      <c r="EV133" s="138">
        <v>13500</v>
      </c>
      <c r="EW133" s="138"/>
      <c r="EX133" s="138">
        <v>19500</v>
      </c>
      <c r="EY133" s="138"/>
      <c r="EZ133" s="138">
        <v>33515</v>
      </c>
      <c r="FA133" s="138">
        <v>28145</v>
      </c>
      <c r="FB133" s="138">
        <v>5370</v>
      </c>
      <c r="FC133" s="138">
        <v>405</v>
      </c>
      <c r="FD133" s="138">
        <v>41140</v>
      </c>
      <c r="FE133" s="138">
        <v>34521</v>
      </c>
      <c r="FF133" s="138">
        <v>6619</v>
      </c>
      <c r="FG133" s="138">
        <v>405</v>
      </c>
      <c r="FH133" s="138">
        <v>53771</v>
      </c>
      <c r="FI133" s="138">
        <v>46152</v>
      </c>
      <c r="FJ133" s="138">
        <v>7619</v>
      </c>
      <c r="FK133" s="138">
        <v>405</v>
      </c>
      <c r="FL133" s="147">
        <v>2986</v>
      </c>
      <c r="FM133" s="147">
        <v>3370.848880597015</v>
      </c>
      <c r="FO133" s="181">
        <f t="shared" si="6"/>
        <v>3818.878048780488</v>
      </c>
      <c r="FP133" s="179">
        <f t="shared" si="8"/>
        <v>174.9451669238393</v>
      </c>
      <c r="FR133" s="184"/>
      <c r="FV133" s="184">
        <v>5084</v>
      </c>
      <c r="FW133" s="2">
        <f t="shared" si="7"/>
        <v>-5084</v>
      </c>
    </row>
    <row r="134" spans="1:179" ht="12.75">
      <c r="A134" s="82">
        <v>420</v>
      </c>
      <c r="B134" s="80" t="s">
        <v>131</v>
      </c>
      <c r="C134" s="191">
        <v>10405</v>
      </c>
      <c r="D134" s="146"/>
      <c r="E134" s="150">
        <v>4.2714429868819375</v>
      </c>
      <c r="F134" s="150">
        <v>18.9</v>
      </c>
      <c r="G134" s="151">
        <v>-498</v>
      </c>
      <c r="H134" s="152"/>
      <c r="I134" s="152"/>
      <c r="J134" s="152"/>
      <c r="K134" s="150">
        <v>80.4</v>
      </c>
      <c r="L134" s="151">
        <v>426</v>
      </c>
      <c r="M134" s="151">
        <v>25</v>
      </c>
      <c r="N134" s="154">
        <v>6669.101393560788</v>
      </c>
      <c r="O134" s="146">
        <v>27188</v>
      </c>
      <c r="P134" s="139">
        <v>10417</v>
      </c>
      <c r="Q134" s="139">
        <v>59427</v>
      </c>
      <c r="R134" s="139">
        <v>-49010</v>
      </c>
      <c r="S134" s="146">
        <v>29837</v>
      </c>
      <c r="T134" s="139">
        <v>22721</v>
      </c>
      <c r="U134" s="160"/>
      <c r="W134" s="138">
        <v>-48</v>
      </c>
      <c r="X134" s="138">
        <v>353</v>
      </c>
      <c r="Y134" s="139">
        <v>3853</v>
      </c>
      <c r="Z134" s="138">
        <v>3752</v>
      </c>
      <c r="AC134" s="139">
        <v>101</v>
      </c>
      <c r="AD134" s="139"/>
      <c r="AE134" s="139"/>
      <c r="AF134" s="138">
        <v>-49</v>
      </c>
      <c r="AG134" s="139">
        <v>52</v>
      </c>
      <c r="AH134" s="139">
        <v>7429</v>
      </c>
      <c r="AI134" s="139">
        <v>3400</v>
      </c>
      <c r="AJ134" s="176"/>
      <c r="AK134" s="139">
        <v>664</v>
      </c>
      <c r="AL134" s="151">
        <v>-611</v>
      </c>
      <c r="AM134" s="151">
        <v>-14</v>
      </c>
      <c r="AN134" s="146">
        <v>29837</v>
      </c>
      <c r="AO134" s="139">
        <v>26020</v>
      </c>
      <c r="AP134" s="139">
        <v>2274</v>
      </c>
      <c r="AQ134" s="139">
        <v>1543</v>
      </c>
      <c r="AR134" s="114">
        <v>19</v>
      </c>
      <c r="AS134" s="152"/>
      <c r="AT134" s="138">
        <v>86</v>
      </c>
      <c r="AU134" s="191">
        <v>10274</v>
      </c>
      <c r="AV134" s="146"/>
      <c r="AW134" s="150">
        <v>1.429778247096093</v>
      </c>
      <c r="AX134" s="150">
        <v>21.5</v>
      </c>
      <c r="AY134" s="151">
        <v>-858</v>
      </c>
      <c r="AZ134" s="152"/>
      <c r="BA134" s="152"/>
      <c r="BB134" s="152"/>
      <c r="BC134" s="150">
        <v>77.1</v>
      </c>
      <c r="BD134" s="151">
        <v>262</v>
      </c>
      <c r="BE134" s="151">
        <v>14</v>
      </c>
      <c r="BF134" s="154">
        <v>6709.947440140159</v>
      </c>
      <c r="BG134" s="146">
        <v>22461</v>
      </c>
      <c r="BH134" s="139">
        <v>11093</v>
      </c>
      <c r="BI134" s="139">
        <v>62556</v>
      </c>
      <c r="BJ134" s="139">
        <v>-51463</v>
      </c>
      <c r="BK134" s="146">
        <v>28763</v>
      </c>
      <c r="BL134" s="146">
        <v>23389</v>
      </c>
      <c r="BM134" s="160"/>
      <c r="BO134" s="138">
        <v>-104</v>
      </c>
      <c r="BP134" s="138">
        <v>633</v>
      </c>
      <c r="BQ134" s="139">
        <v>1218</v>
      </c>
      <c r="BR134" s="138">
        <v>3760</v>
      </c>
      <c r="BU134" s="139">
        <v>-2542</v>
      </c>
      <c r="BV134" s="139"/>
      <c r="BW134" s="139"/>
      <c r="BY134" s="138">
        <v>-2542</v>
      </c>
      <c r="BZ134" s="139">
        <v>4888</v>
      </c>
      <c r="CA134" s="139">
        <v>1088</v>
      </c>
      <c r="CB134" s="176"/>
      <c r="CC134" s="139">
        <v>223</v>
      </c>
      <c r="CD134" s="151">
        <v>-811</v>
      </c>
      <c r="CE134" s="151">
        <v>-3916</v>
      </c>
      <c r="CF134" s="138">
        <v>28763</v>
      </c>
      <c r="CG134" s="139">
        <v>25771</v>
      </c>
      <c r="CH134" s="139">
        <v>1431</v>
      </c>
      <c r="CI134" s="139">
        <v>1561</v>
      </c>
      <c r="CJ134" s="114">
        <v>19</v>
      </c>
      <c r="CK134" s="152"/>
      <c r="CL134" s="138">
        <v>175</v>
      </c>
      <c r="CM134" s="190">
        <v>10170</v>
      </c>
      <c r="CN134" s="146"/>
      <c r="CO134" s="150">
        <v>5.589721254355401</v>
      </c>
      <c r="CP134" s="150">
        <v>27.036976072545528</v>
      </c>
      <c r="CQ134" s="151">
        <v>-848.0825958702065</v>
      </c>
      <c r="CR134" s="152"/>
      <c r="CS134" s="152"/>
      <c r="CT134" s="152"/>
      <c r="CU134" s="150">
        <v>72.92652298347059</v>
      </c>
      <c r="CV134" s="151">
        <v>740.8062930186824</v>
      </c>
      <c r="CW134" s="151">
        <v>39.38119379045655</v>
      </c>
      <c r="CX134" s="154">
        <v>6866.076696165192</v>
      </c>
      <c r="CY134" s="146">
        <v>22129</v>
      </c>
      <c r="CZ134" s="139">
        <v>10150</v>
      </c>
      <c r="DA134" s="139">
        <v>61250</v>
      </c>
      <c r="DB134" s="139">
        <v>-51100</v>
      </c>
      <c r="DC134" s="146">
        <v>32282</v>
      </c>
      <c r="DD134" s="146">
        <v>24417</v>
      </c>
      <c r="DE134" s="160"/>
      <c r="DG134" s="138">
        <v>-106</v>
      </c>
      <c r="DH134" s="138">
        <v>786</v>
      </c>
      <c r="DI134" s="139">
        <v>6279</v>
      </c>
      <c r="DJ134" s="138">
        <v>3581</v>
      </c>
      <c r="DM134" s="139">
        <v>2698</v>
      </c>
      <c r="DN134" s="139"/>
      <c r="DO134" s="139">
        <v>-2500</v>
      </c>
      <c r="DP134" s="138">
        <v>-18</v>
      </c>
      <c r="DQ134" s="138">
        <v>180</v>
      </c>
      <c r="DR134" s="139">
        <v>5067</v>
      </c>
      <c r="DS134" s="139">
        <v>6087</v>
      </c>
      <c r="DT134" s="176"/>
      <c r="DU134" s="139">
        <v>152</v>
      </c>
      <c r="DV134" s="151">
        <v>-1010</v>
      </c>
      <c r="DW134" s="138">
        <v>45</v>
      </c>
      <c r="DX134" s="138">
        <v>32282</v>
      </c>
      <c r="DY134" s="146">
        <v>29060</v>
      </c>
      <c r="DZ134" s="196">
        <v>1641</v>
      </c>
      <c r="EA134" s="146">
        <v>1581</v>
      </c>
      <c r="EB134" s="114">
        <v>20</v>
      </c>
      <c r="EC134" s="152"/>
      <c r="ED134" s="138">
        <v>29</v>
      </c>
      <c r="EE134" s="138">
        <v>24296</v>
      </c>
      <c r="EF134" s="138">
        <v>33062</v>
      </c>
      <c r="EG134" s="138">
        <v>32363</v>
      </c>
      <c r="EH134" s="138"/>
      <c r="EI134" s="138"/>
      <c r="EJ134" s="138"/>
      <c r="EK134" s="3">
        <v>-4193</v>
      </c>
      <c r="EL134" s="138">
        <v>64</v>
      </c>
      <c r="EM134" s="138">
        <v>715</v>
      </c>
      <c r="EN134" s="3">
        <v>-5442</v>
      </c>
      <c r="EO134" s="138">
        <v>56</v>
      </c>
      <c r="EP134" s="138">
        <v>382</v>
      </c>
      <c r="EQ134" s="3">
        <v>-7423</v>
      </c>
      <c r="ER134" s="138">
        <v>930</v>
      </c>
      <c r="ES134" s="138">
        <v>451</v>
      </c>
      <c r="ET134" s="163"/>
      <c r="EU134" s="163"/>
      <c r="EV134" s="138">
        <v>4000</v>
      </c>
      <c r="EW134" s="138"/>
      <c r="EX134" s="138">
        <v>5000</v>
      </c>
      <c r="EY134" s="138"/>
      <c r="EZ134" s="138">
        <v>3632</v>
      </c>
      <c r="FA134" s="138">
        <v>3021</v>
      </c>
      <c r="FB134" s="138">
        <v>611</v>
      </c>
      <c r="FC134" s="138">
        <v>4725</v>
      </c>
      <c r="FD134" s="138">
        <v>6822</v>
      </c>
      <c r="FE134" s="138">
        <v>5811</v>
      </c>
      <c r="FF134" s="138">
        <v>1011</v>
      </c>
      <c r="FG134" s="138">
        <v>4704</v>
      </c>
      <c r="FH134" s="138">
        <v>10810</v>
      </c>
      <c r="FI134" s="138">
        <v>9287</v>
      </c>
      <c r="FJ134" s="138">
        <v>1523</v>
      </c>
      <c r="FK134" s="138">
        <v>4573</v>
      </c>
      <c r="FL134" s="147">
        <v>1864</v>
      </c>
      <c r="FM134" s="147">
        <v>2293.7512166634224</v>
      </c>
      <c r="FO134" s="181">
        <f t="shared" si="6"/>
        <v>1453</v>
      </c>
      <c r="FP134" s="179">
        <f t="shared" si="8"/>
        <v>142.87118977384463</v>
      </c>
      <c r="FR134" s="184"/>
      <c r="FV134" s="184">
        <v>611</v>
      </c>
      <c r="FW134" s="2">
        <f t="shared" si="7"/>
        <v>-611</v>
      </c>
    </row>
    <row r="135" spans="1:179" ht="12.75">
      <c r="A135" s="82">
        <v>421</v>
      </c>
      <c r="B135" s="80" t="s">
        <v>132</v>
      </c>
      <c r="C135" s="191">
        <v>847</v>
      </c>
      <c r="D135" s="146"/>
      <c r="E135" s="150">
        <v>0.9264705882352942</v>
      </c>
      <c r="F135" s="150">
        <v>42.6</v>
      </c>
      <c r="G135" s="151">
        <v>-1583</v>
      </c>
      <c r="H135" s="152"/>
      <c r="I135" s="152"/>
      <c r="J135" s="152"/>
      <c r="K135" s="150">
        <v>70.7</v>
      </c>
      <c r="L135" s="151">
        <v>694</v>
      </c>
      <c r="M135" s="151">
        <v>28</v>
      </c>
      <c r="N135" s="154">
        <v>18613.931523022435</v>
      </c>
      <c r="O135" s="146">
        <v>2076</v>
      </c>
      <c r="P135" s="139">
        <v>2170</v>
      </c>
      <c r="Q135" s="139">
        <v>6911</v>
      </c>
      <c r="R135" s="139">
        <v>-4741</v>
      </c>
      <c r="S135" s="146">
        <v>2226</v>
      </c>
      <c r="T135" s="139">
        <v>2986</v>
      </c>
      <c r="U135" s="160"/>
      <c r="W135" s="138">
        <v>-34</v>
      </c>
      <c r="X135" s="138">
        <v>-10</v>
      </c>
      <c r="Y135" s="139">
        <v>427</v>
      </c>
      <c r="Z135" s="138">
        <v>195</v>
      </c>
      <c r="AA135" s="139"/>
      <c r="AC135" s="139">
        <v>232</v>
      </c>
      <c r="AG135" s="139">
        <v>232</v>
      </c>
      <c r="AH135" s="139">
        <v>1682</v>
      </c>
      <c r="AI135" s="139">
        <v>427</v>
      </c>
      <c r="AJ135" s="176"/>
      <c r="AK135" s="138">
        <v>-236</v>
      </c>
      <c r="AL135" s="151">
        <v>-502</v>
      </c>
      <c r="AM135" s="151">
        <v>274</v>
      </c>
      <c r="AN135" s="146">
        <v>2226</v>
      </c>
      <c r="AO135" s="139">
        <v>1648</v>
      </c>
      <c r="AP135" s="139">
        <v>390</v>
      </c>
      <c r="AQ135" s="139">
        <v>188</v>
      </c>
      <c r="AR135" s="114">
        <v>20</v>
      </c>
      <c r="AS135" s="152"/>
      <c r="AT135" s="138">
        <v>38</v>
      </c>
      <c r="AU135" s="191">
        <v>835</v>
      </c>
      <c r="AV135" s="146"/>
      <c r="AW135" s="150">
        <v>0.37732342007434944</v>
      </c>
      <c r="AX135" s="150">
        <v>36.6</v>
      </c>
      <c r="AY135" s="151">
        <v>-1596</v>
      </c>
      <c r="AZ135" s="152"/>
      <c r="BA135" s="152"/>
      <c r="BB135" s="152"/>
      <c r="BC135" s="150">
        <v>73.8</v>
      </c>
      <c r="BD135" s="151">
        <v>380</v>
      </c>
      <c r="BE135" s="151">
        <v>15</v>
      </c>
      <c r="BF135" s="154">
        <v>9013.173652694612</v>
      </c>
      <c r="BG135" s="146">
        <v>2004</v>
      </c>
      <c r="BH135" s="139">
        <v>1775</v>
      </c>
      <c r="BI135" s="139">
        <v>6813</v>
      </c>
      <c r="BJ135" s="139">
        <v>-5038</v>
      </c>
      <c r="BK135" s="146">
        <v>2197</v>
      </c>
      <c r="BL135" s="146">
        <v>3043</v>
      </c>
      <c r="BM135" s="160"/>
      <c r="BO135" s="138">
        <v>-36</v>
      </c>
      <c r="BP135" s="138">
        <v>1</v>
      </c>
      <c r="BQ135" s="139">
        <v>167</v>
      </c>
      <c r="BR135" s="138">
        <v>204</v>
      </c>
      <c r="BS135" s="139"/>
      <c r="BU135" s="139">
        <v>-37</v>
      </c>
      <c r="BY135" s="138">
        <v>-37</v>
      </c>
      <c r="BZ135" s="139">
        <v>1645</v>
      </c>
      <c r="CA135" s="139">
        <v>167</v>
      </c>
      <c r="CB135" s="176"/>
      <c r="CC135" s="138">
        <v>295</v>
      </c>
      <c r="CD135" s="151">
        <v>-502</v>
      </c>
      <c r="CE135" s="151">
        <v>31</v>
      </c>
      <c r="CF135" s="138">
        <v>2197</v>
      </c>
      <c r="CG135" s="139">
        <v>1764</v>
      </c>
      <c r="CH135" s="139">
        <v>238</v>
      </c>
      <c r="CI135" s="139">
        <v>195</v>
      </c>
      <c r="CJ135" s="114">
        <v>20</v>
      </c>
      <c r="CK135" s="152"/>
      <c r="CL135" s="138">
        <v>116</v>
      </c>
      <c r="CM135" s="190">
        <v>818</v>
      </c>
      <c r="CN135" s="146"/>
      <c r="CO135" s="150">
        <v>16.058823529411764</v>
      </c>
      <c r="CP135" s="150">
        <v>39.997213708553915</v>
      </c>
      <c r="CQ135" s="151">
        <v>-1843.520782396088</v>
      </c>
      <c r="CR135" s="152"/>
      <c r="CS135" s="152"/>
      <c r="CT135" s="152"/>
      <c r="CU135" s="150">
        <v>71.59786687734545</v>
      </c>
      <c r="CV135" s="151">
        <v>447.4327628361858</v>
      </c>
      <c r="CW135" s="151">
        <v>18.052702702702703</v>
      </c>
      <c r="CX135" s="154">
        <v>9046.45476772616</v>
      </c>
      <c r="CY135" s="146">
        <v>2215</v>
      </c>
      <c r="CZ135" s="139">
        <v>1915</v>
      </c>
      <c r="DA135" s="139">
        <v>6934</v>
      </c>
      <c r="DB135" s="139">
        <v>-5019</v>
      </c>
      <c r="DC135" s="146">
        <v>2197</v>
      </c>
      <c r="DD135" s="146">
        <v>3066</v>
      </c>
      <c r="DE135" s="160"/>
      <c r="DG135" s="138">
        <v>12</v>
      </c>
      <c r="DH135" s="138">
        <v>0</v>
      </c>
      <c r="DI135" s="139">
        <v>256</v>
      </c>
      <c r="DJ135" s="138">
        <v>330</v>
      </c>
      <c r="DK135" s="139"/>
      <c r="DM135" s="139">
        <v>-74</v>
      </c>
      <c r="DQ135" s="138">
        <v>-74</v>
      </c>
      <c r="DR135" s="139">
        <v>1571</v>
      </c>
      <c r="DS135" s="139">
        <v>235</v>
      </c>
      <c r="DT135" s="176"/>
      <c r="DU135" s="138">
        <v>-78</v>
      </c>
      <c r="DV135" s="151">
        <v>0</v>
      </c>
      <c r="DW135" s="138">
        <v>55</v>
      </c>
      <c r="DX135" s="138">
        <v>2197</v>
      </c>
      <c r="DY135" s="146">
        <v>1741</v>
      </c>
      <c r="DZ135" s="196">
        <v>256</v>
      </c>
      <c r="EA135" s="146">
        <v>200</v>
      </c>
      <c r="EB135" s="114">
        <v>20</v>
      </c>
      <c r="EC135" s="152"/>
      <c r="ED135" s="138">
        <v>133</v>
      </c>
      <c r="EE135" s="138">
        <v>4075</v>
      </c>
      <c r="EF135" s="138">
        <v>4066</v>
      </c>
      <c r="EG135" s="138">
        <v>4052</v>
      </c>
      <c r="EH135" s="138"/>
      <c r="EI135" s="138"/>
      <c r="EJ135" s="138"/>
      <c r="EK135" s="3">
        <v>-229</v>
      </c>
      <c r="EL135" s="138">
        <v>76</v>
      </c>
      <c r="EM135" s="138"/>
      <c r="EN135" s="3">
        <v>-151</v>
      </c>
      <c r="EO135" s="138">
        <v>15</v>
      </c>
      <c r="EP135" s="138"/>
      <c r="EQ135" s="3">
        <v>-217</v>
      </c>
      <c r="ER135" s="138">
        <v>37</v>
      </c>
      <c r="ET135" s="163"/>
      <c r="EU135" s="163">
        <v>568</v>
      </c>
      <c r="EV135" s="138"/>
      <c r="EW135" s="138">
        <v>-130</v>
      </c>
      <c r="EX135" s="138">
        <v>798</v>
      </c>
      <c r="EY135" s="138">
        <v>-547</v>
      </c>
      <c r="EZ135" s="138">
        <v>2348</v>
      </c>
      <c r="FA135" s="138">
        <v>1306</v>
      </c>
      <c r="FB135" s="138">
        <v>1042</v>
      </c>
      <c r="FC135" s="138">
        <v>519</v>
      </c>
      <c r="FD135" s="138">
        <v>1717</v>
      </c>
      <c r="FE135" s="138">
        <v>805</v>
      </c>
      <c r="FF135" s="138">
        <v>912</v>
      </c>
      <c r="FG135" s="138">
        <v>541</v>
      </c>
      <c r="FH135" s="138">
        <v>1968</v>
      </c>
      <c r="FI135" s="138">
        <v>1603</v>
      </c>
      <c r="FJ135" s="138">
        <v>365</v>
      </c>
      <c r="FK135" s="138">
        <v>771</v>
      </c>
      <c r="FL135" s="147">
        <v>3893</v>
      </c>
      <c r="FM135" s="147">
        <v>2197.604790419162</v>
      </c>
      <c r="FO135" s="181">
        <f t="shared" si="6"/>
        <v>87.05</v>
      </c>
      <c r="FP135" s="179">
        <f t="shared" si="8"/>
        <v>106.41809290953545</v>
      </c>
      <c r="FR135" s="184"/>
      <c r="FV135" s="184">
        <v>502</v>
      </c>
      <c r="FW135" s="2">
        <f t="shared" si="7"/>
        <v>-502</v>
      </c>
    </row>
    <row r="136" spans="1:179" ht="12.75">
      <c r="A136" s="82">
        <v>422</v>
      </c>
      <c r="B136" s="80" t="s">
        <v>133</v>
      </c>
      <c r="C136" s="191">
        <v>12585</v>
      </c>
      <c r="D136" s="146"/>
      <c r="E136" s="150">
        <v>2.467940813810111</v>
      </c>
      <c r="F136" s="150">
        <v>30.2</v>
      </c>
      <c r="G136" s="151">
        <v>-1011</v>
      </c>
      <c r="H136" s="152"/>
      <c r="I136" s="152"/>
      <c r="J136" s="152"/>
      <c r="K136" s="150">
        <v>65.5</v>
      </c>
      <c r="L136" s="151">
        <v>703</v>
      </c>
      <c r="M136" s="151">
        <v>35</v>
      </c>
      <c r="N136" s="154">
        <v>7815.176797775129</v>
      </c>
      <c r="O136" s="146">
        <v>38500</v>
      </c>
      <c r="P136" s="139">
        <v>16275</v>
      </c>
      <c r="Q136" s="139">
        <v>82053</v>
      </c>
      <c r="R136" s="139">
        <v>-65778</v>
      </c>
      <c r="S136" s="146">
        <v>35668</v>
      </c>
      <c r="T136" s="139">
        <v>33382</v>
      </c>
      <c r="U136" s="160"/>
      <c r="W136" s="138">
        <v>-202</v>
      </c>
      <c r="X136" s="138">
        <v>628</v>
      </c>
      <c r="Y136" s="139">
        <v>3698</v>
      </c>
      <c r="Z136" s="138">
        <v>2987</v>
      </c>
      <c r="AC136" s="139">
        <v>711</v>
      </c>
      <c r="AD136" s="138">
        <v>71</v>
      </c>
      <c r="AE136" s="138">
        <v>-700</v>
      </c>
      <c r="AF136" s="139"/>
      <c r="AG136" s="139">
        <v>82</v>
      </c>
      <c r="AH136" s="139">
        <v>12664</v>
      </c>
      <c r="AI136" s="139">
        <v>3534</v>
      </c>
      <c r="AJ136" s="176"/>
      <c r="AK136" s="139">
        <v>-326</v>
      </c>
      <c r="AL136" s="151">
        <v>-1317</v>
      </c>
      <c r="AM136" s="151">
        <v>-3295</v>
      </c>
      <c r="AN136" s="146">
        <v>35668</v>
      </c>
      <c r="AO136" s="139">
        <v>29244</v>
      </c>
      <c r="AP136" s="139">
        <v>4230</v>
      </c>
      <c r="AQ136" s="139">
        <v>2194</v>
      </c>
      <c r="AR136" s="114">
        <v>19.5</v>
      </c>
      <c r="AS136" s="152"/>
      <c r="AT136" s="138">
        <v>129</v>
      </c>
      <c r="AU136" s="191">
        <v>12399</v>
      </c>
      <c r="AV136" s="146"/>
      <c r="AW136" s="150">
        <v>0.4363698396451723</v>
      </c>
      <c r="AX136" s="150">
        <v>34.1</v>
      </c>
      <c r="AY136" s="151">
        <v>-1410</v>
      </c>
      <c r="AZ136" s="152"/>
      <c r="BA136" s="152"/>
      <c r="BB136" s="152"/>
      <c r="BC136" s="150">
        <v>60.5</v>
      </c>
      <c r="BD136" s="151">
        <v>736</v>
      </c>
      <c r="BE136" s="151">
        <v>34</v>
      </c>
      <c r="BF136" s="154">
        <v>7869.828211952577</v>
      </c>
      <c r="BG136" s="146">
        <v>40933</v>
      </c>
      <c r="BH136" s="139">
        <v>17207</v>
      </c>
      <c r="BI136" s="139">
        <v>88084</v>
      </c>
      <c r="BJ136" s="139">
        <v>-70877</v>
      </c>
      <c r="BK136" s="146">
        <v>36011</v>
      </c>
      <c r="BL136" s="146">
        <v>35294</v>
      </c>
      <c r="BM136" s="160"/>
      <c r="BO136" s="138">
        <v>-285</v>
      </c>
      <c r="BP136" s="138">
        <v>632</v>
      </c>
      <c r="BQ136" s="139">
        <v>775</v>
      </c>
      <c r="BR136" s="138">
        <v>3481</v>
      </c>
      <c r="BU136" s="139">
        <v>-2706</v>
      </c>
      <c r="BV136" s="138">
        <v>71</v>
      </c>
      <c r="BX136" s="139"/>
      <c r="BY136" s="138">
        <v>-2635</v>
      </c>
      <c r="BZ136" s="139">
        <v>10029</v>
      </c>
      <c r="CA136" s="139">
        <v>549</v>
      </c>
      <c r="CB136" s="176"/>
      <c r="CC136" s="139">
        <v>605</v>
      </c>
      <c r="CD136" s="151">
        <v>-2427</v>
      </c>
      <c r="CE136" s="151">
        <v>-5181</v>
      </c>
      <c r="CF136" s="138">
        <v>36011</v>
      </c>
      <c r="CG136" s="139">
        <v>30882</v>
      </c>
      <c r="CH136" s="139">
        <v>2704</v>
      </c>
      <c r="CI136" s="139">
        <v>2425</v>
      </c>
      <c r="CJ136" s="114">
        <v>20</v>
      </c>
      <c r="CK136" s="152"/>
      <c r="CL136" s="138">
        <v>213</v>
      </c>
      <c r="CM136" s="190">
        <v>12303</v>
      </c>
      <c r="CN136" s="146"/>
      <c r="CO136" s="150">
        <v>0.8214621901474741</v>
      </c>
      <c r="CP136" s="150">
        <v>30.004583351521237</v>
      </c>
      <c r="CQ136" s="151">
        <v>-1467.2031211899537</v>
      </c>
      <c r="CR136" s="152"/>
      <c r="CS136" s="152"/>
      <c r="CT136" s="152"/>
      <c r="CU136" s="150">
        <v>61.423185418248885</v>
      </c>
      <c r="CV136" s="151">
        <v>528.4077054376982</v>
      </c>
      <c r="CW136" s="151">
        <v>24.481959906317385</v>
      </c>
      <c r="CX136" s="154">
        <v>7877.997236446396</v>
      </c>
      <c r="CY136" s="146">
        <v>40746</v>
      </c>
      <c r="CZ136" s="139">
        <v>16472</v>
      </c>
      <c r="DA136" s="139">
        <v>89841</v>
      </c>
      <c r="DB136" s="139">
        <v>-73369</v>
      </c>
      <c r="DC136" s="146">
        <v>37934</v>
      </c>
      <c r="DD136" s="146">
        <v>37369</v>
      </c>
      <c r="DE136" s="160"/>
      <c r="DG136" s="138">
        <v>-238</v>
      </c>
      <c r="DH136" s="138">
        <v>547</v>
      </c>
      <c r="DI136" s="139">
        <v>2243</v>
      </c>
      <c r="DJ136" s="138">
        <v>3536</v>
      </c>
      <c r="DM136" s="139">
        <v>-1293</v>
      </c>
      <c r="DN136" s="138">
        <v>70</v>
      </c>
      <c r="DP136" s="139"/>
      <c r="DQ136" s="138">
        <v>-1223</v>
      </c>
      <c r="DR136" s="139">
        <v>8807</v>
      </c>
      <c r="DS136" s="139">
        <v>2982</v>
      </c>
      <c r="DT136" s="176"/>
      <c r="DU136" s="139">
        <v>545</v>
      </c>
      <c r="DV136" s="151">
        <v>-2812</v>
      </c>
      <c r="DW136" s="138">
        <v>-6</v>
      </c>
      <c r="DX136" s="138">
        <v>37934</v>
      </c>
      <c r="DY136" s="146">
        <v>31616</v>
      </c>
      <c r="DZ136" s="196">
        <v>3264</v>
      </c>
      <c r="EA136" s="146">
        <v>3054</v>
      </c>
      <c r="EB136" s="114">
        <v>20</v>
      </c>
      <c r="EC136" s="152"/>
      <c r="ED136" s="138">
        <v>211</v>
      </c>
      <c r="EE136" s="138">
        <v>29453</v>
      </c>
      <c r="EF136" s="138">
        <v>31807</v>
      </c>
      <c r="EG136" s="138">
        <v>32406</v>
      </c>
      <c r="EH136" s="138"/>
      <c r="EI136" s="138"/>
      <c r="EJ136" s="138"/>
      <c r="EK136" s="3">
        <v>-8367</v>
      </c>
      <c r="EL136" s="138">
        <v>1059</v>
      </c>
      <c r="EM136" s="138">
        <v>479</v>
      </c>
      <c r="EN136" s="3">
        <v>-6760</v>
      </c>
      <c r="EO136" s="138">
        <v>691</v>
      </c>
      <c r="EP136" s="138">
        <v>339</v>
      </c>
      <c r="EQ136" s="3">
        <v>-3325</v>
      </c>
      <c r="ER136" s="138">
        <v>277</v>
      </c>
      <c r="ES136" s="138">
        <v>60</v>
      </c>
      <c r="ET136" s="163">
        <v>7000</v>
      </c>
      <c r="EU136" s="163"/>
      <c r="EV136" s="138">
        <v>6000</v>
      </c>
      <c r="EW136" s="138"/>
      <c r="EX136" s="138"/>
      <c r="EY136" s="138"/>
      <c r="EZ136" s="138">
        <v>15148</v>
      </c>
      <c r="FA136" s="138">
        <v>12744</v>
      </c>
      <c r="FB136" s="138">
        <v>2404</v>
      </c>
      <c r="FC136" s="138">
        <v>694</v>
      </c>
      <c r="FD136" s="138">
        <v>18721</v>
      </c>
      <c r="FE136" s="138">
        <v>15921</v>
      </c>
      <c r="FF136" s="138">
        <v>2800</v>
      </c>
      <c r="FG136" s="138">
        <v>590</v>
      </c>
      <c r="FH136" s="138">
        <v>15907</v>
      </c>
      <c r="FI136" s="138">
        <v>13198</v>
      </c>
      <c r="FJ136" s="138">
        <v>2709</v>
      </c>
      <c r="FK136" s="138">
        <v>1252</v>
      </c>
      <c r="FL136" s="147">
        <v>3826</v>
      </c>
      <c r="FM136" s="147">
        <v>4133.317203000242</v>
      </c>
      <c r="FO136" s="181">
        <f t="shared" si="6"/>
        <v>1580.8</v>
      </c>
      <c r="FP136" s="179">
        <f t="shared" si="8"/>
        <v>128.48898642607492</v>
      </c>
      <c r="FR136" s="184"/>
      <c r="FV136" s="184">
        <v>1317</v>
      </c>
      <c r="FW136" s="2">
        <f t="shared" si="7"/>
        <v>-1317</v>
      </c>
    </row>
    <row r="137" spans="1:179" ht="12.75">
      <c r="A137" s="82">
        <v>423</v>
      </c>
      <c r="B137" s="80" t="s">
        <v>134</v>
      </c>
      <c r="C137" s="191">
        <v>16690</v>
      </c>
      <c r="D137" s="146"/>
      <c r="E137" s="150">
        <v>1.2478527607361962</v>
      </c>
      <c r="F137" s="150">
        <v>51.3</v>
      </c>
      <c r="G137" s="151">
        <v>-2306</v>
      </c>
      <c r="H137" s="152"/>
      <c r="I137" s="152"/>
      <c r="J137" s="152"/>
      <c r="K137" s="150">
        <v>44</v>
      </c>
      <c r="L137" s="151">
        <v>112</v>
      </c>
      <c r="M137" s="151">
        <v>7</v>
      </c>
      <c r="N137" s="154">
        <v>5373.337327741163</v>
      </c>
      <c r="O137" s="146">
        <v>32803</v>
      </c>
      <c r="P137" s="139">
        <v>12762</v>
      </c>
      <c r="Q137" s="139">
        <v>82602</v>
      </c>
      <c r="R137" s="139">
        <v>-69840</v>
      </c>
      <c r="S137" s="146">
        <v>55692</v>
      </c>
      <c r="T137" s="139">
        <v>17810</v>
      </c>
      <c r="U137" s="160"/>
      <c r="W137" s="138">
        <v>-476</v>
      </c>
      <c r="X137" s="138">
        <v>225</v>
      </c>
      <c r="Y137" s="139">
        <v>3411</v>
      </c>
      <c r="Z137" s="138">
        <v>3607</v>
      </c>
      <c r="AC137" s="139">
        <v>-196</v>
      </c>
      <c r="AG137" s="139">
        <v>-196</v>
      </c>
      <c r="AH137" s="139">
        <v>7292</v>
      </c>
      <c r="AI137" s="139">
        <v>1595</v>
      </c>
      <c r="AJ137" s="176"/>
      <c r="AK137" s="139">
        <v>-1789</v>
      </c>
      <c r="AL137" s="151">
        <v>-2603</v>
      </c>
      <c r="AM137" s="151">
        <v>-1417</v>
      </c>
      <c r="AN137" s="146">
        <v>55692</v>
      </c>
      <c r="AO137" s="139">
        <v>49846</v>
      </c>
      <c r="AP137" s="139">
        <v>3131</v>
      </c>
      <c r="AQ137" s="139">
        <v>2715</v>
      </c>
      <c r="AR137" s="114">
        <v>18.5</v>
      </c>
      <c r="AS137" s="152"/>
      <c r="AT137" s="138">
        <v>198</v>
      </c>
      <c r="AU137" s="191">
        <v>17023</v>
      </c>
      <c r="AV137" s="146"/>
      <c r="AW137" s="150">
        <v>0.6285504407443683</v>
      </c>
      <c r="AX137" s="150">
        <v>56.8</v>
      </c>
      <c r="AY137" s="151">
        <v>-2540</v>
      </c>
      <c r="AZ137" s="152"/>
      <c r="BA137" s="152"/>
      <c r="BB137" s="152"/>
      <c r="BC137" s="150">
        <v>39.1</v>
      </c>
      <c r="BD137" s="151">
        <v>106</v>
      </c>
      <c r="BE137" s="151">
        <v>7</v>
      </c>
      <c r="BF137" s="154">
        <v>5808.905598308172</v>
      </c>
      <c r="BG137" s="146">
        <v>34593</v>
      </c>
      <c r="BH137" s="139">
        <v>14433</v>
      </c>
      <c r="BI137" s="139">
        <v>87538</v>
      </c>
      <c r="BJ137" s="139">
        <v>-73105</v>
      </c>
      <c r="BK137" s="146">
        <v>57389</v>
      </c>
      <c r="BL137" s="146">
        <v>18102</v>
      </c>
      <c r="BM137" s="160"/>
      <c r="BO137" s="138">
        <v>-655</v>
      </c>
      <c r="BP137" s="138">
        <v>141</v>
      </c>
      <c r="BQ137" s="139">
        <v>1872</v>
      </c>
      <c r="BR137" s="138">
        <v>3751</v>
      </c>
      <c r="BU137" s="139">
        <v>-1879</v>
      </c>
      <c r="BY137" s="138">
        <v>-1879</v>
      </c>
      <c r="BZ137" s="139">
        <v>4876</v>
      </c>
      <c r="CA137" s="139">
        <v>-452</v>
      </c>
      <c r="CB137" s="176"/>
      <c r="CC137" s="139">
        <v>-2154</v>
      </c>
      <c r="CD137" s="151">
        <v>-3389</v>
      </c>
      <c r="CE137" s="151">
        <v>-3774</v>
      </c>
      <c r="CF137" s="138">
        <v>57389</v>
      </c>
      <c r="CG137" s="139">
        <v>52156</v>
      </c>
      <c r="CH137" s="139">
        <v>2340</v>
      </c>
      <c r="CI137" s="139">
        <v>2893</v>
      </c>
      <c r="CJ137" s="114">
        <v>18.5</v>
      </c>
      <c r="CK137" s="152"/>
      <c r="CL137" s="138">
        <v>184</v>
      </c>
      <c r="CM137" s="190">
        <v>17172</v>
      </c>
      <c r="CN137" s="146"/>
      <c r="CO137" s="150">
        <v>1.1428933367114265</v>
      </c>
      <c r="CP137" s="150">
        <v>54.51053717485815</v>
      </c>
      <c r="CQ137" s="151">
        <v>-2871.41858839972</v>
      </c>
      <c r="CR137" s="152"/>
      <c r="CS137" s="152"/>
      <c r="CT137" s="152"/>
      <c r="CU137" s="150">
        <v>36.60807380804432</v>
      </c>
      <c r="CV137" s="151">
        <v>299.3244817144188</v>
      </c>
      <c r="CW137" s="151">
        <v>15.485377993116142</v>
      </c>
      <c r="CX137" s="154">
        <v>7055.264383880736</v>
      </c>
      <c r="CY137" s="146">
        <v>46709</v>
      </c>
      <c r="CZ137" s="139">
        <v>27358</v>
      </c>
      <c r="DA137" s="139">
        <v>104172</v>
      </c>
      <c r="DB137" s="139">
        <v>-76814</v>
      </c>
      <c r="DC137" s="146">
        <v>62906</v>
      </c>
      <c r="DD137" s="146">
        <v>18304</v>
      </c>
      <c r="DE137" s="160"/>
      <c r="DG137" s="138">
        <v>-509</v>
      </c>
      <c r="DH137" s="138">
        <v>78</v>
      </c>
      <c r="DI137" s="139">
        <v>3965</v>
      </c>
      <c r="DJ137" s="138">
        <v>4394</v>
      </c>
      <c r="DK137" s="138">
        <v>1776</v>
      </c>
      <c r="DM137" s="139">
        <v>1347</v>
      </c>
      <c r="DQ137" s="138">
        <v>1347</v>
      </c>
      <c r="DR137" s="139">
        <v>6223</v>
      </c>
      <c r="DS137" s="139">
        <v>3961</v>
      </c>
      <c r="DT137" s="176"/>
      <c r="DU137" s="139">
        <v>987</v>
      </c>
      <c r="DV137" s="151">
        <v>-3401</v>
      </c>
      <c r="DW137" s="138">
        <v>-5821</v>
      </c>
      <c r="DX137" s="138">
        <v>62906</v>
      </c>
      <c r="DY137" s="146">
        <v>57460</v>
      </c>
      <c r="DZ137" s="196">
        <v>2460</v>
      </c>
      <c r="EA137" s="146">
        <v>2986</v>
      </c>
      <c r="EB137" s="114">
        <v>18.5</v>
      </c>
      <c r="EC137" s="152"/>
      <c r="ED137" s="138">
        <v>181</v>
      </c>
      <c r="EE137" s="138">
        <v>39160</v>
      </c>
      <c r="EF137" s="138">
        <v>41431</v>
      </c>
      <c r="EG137" s="138">
        <v>43077</v>
      </c>
      <c r="EH137" s="138"/>
      <c r="EI137" s="138"/>
      <c r="EJ137" s="138"/>
      <c r="EK137" s="3">
        <v>-6207</v>
      </c>
      <c r="EL137" s="138">
        <v>538</v>
      </c>
      <c r="EM137" s="138">
        <v>2657</v>
      </c>
      <c r="EN137" s="3">
        <v>-7248</v>
      </c>
      <c r="EO137" s="138">
        <v>1020</v>
      </c>
      <c r="EP137" s="138">
        <v>2906</v>
      </c>
      <c r="EQ137" s="3">
        <v>-13001</v>
      </c>
      <c r="ER137" s="138">
        <v>232</v>
      </c>
      <c r="ES137" s="138">
        <v>2987</v>
      </c>
      <c r="ET137" s="163">
        <v>20000</v>
      </c>
      <c r="EU137" s="163">
        <v>-13470</v>
      </c>
      <c r="EV137" s="138"/>
      <c r="EW137" s="138">
        <v>7456</v>
      </c>
      <c r="EX137" s="138">
        <v>2719</v>
      </c>
      <c r="EY137" s="138">
        <v>4708</v>
      </c>
      <c r="EZ137" s="138">
        <v>32885</v>
      </c>
      <c r="FA137" s="138">
        <v>27544</v>
      </c>
      <c r="FB137" s="138">
        <v>5341</v>
      </c>
      <c r="FC137" s="138">
        <v>593</v>
      </c>
      <c r="FD137" s="138">
        <v>36968</v>
      </c>
      <c r="FE137" s="138">
        <v>24445</v>
      </c>
      <c r="FF137" s="138">
        <v>12523</v>
      </c>
      <c r="FG137" s="138">
        <v>588</v>
      </c>
      <c r="FH137" s="138">
        <v>40994</v>
      </c>
      <c r="FI137" s="138">
        <v>13483</v>
      </c>
      <c r="FJ137" s="138">
        <v>27511</v>
      </c>
      <c r="FK137" s="138">
        <v>580</v>
      </c>
      <c r="FL137" s="147">
        <v>3000</v>
      </c>
      <c r="FM137" s="147">
        <v>3230.9228690595073</v>
      </c>
      <c r="FO137" s="181">
        <f t="shared" si="6"/>
        <v>3105.945945945946</v>
      </c>
      <c r="FP137" s="179">
        <f t="shared" si="8"/>
        <v>180.87269659596703</v>
      </c>
      <c r="FR137" s="184"/>
      <c r="FV137" s="184">
        <v>2603</v>
      </c>
      <c r="FW137" s="2">
        <f t="shared" si="7"/>
        <v>-2603</v>
      </c>
    </row>
    <row r="138" spans="1:179" ht="12.75">
      <c r="A138" s="82">
        <v>425</v>
      </c>
      <c r="B138" s="80" t="s">
        <v>135</v>
      </c>
      <c r="C138" s="191">
        <v>9164</v>
      </c>
      <c r="D138" s="146"/>
      <c r="E138" s="150">
        <v>1.755855607605401</v>
      </c>
      <c r="F138" s="150">
        <v>47</v>
      </c>
      <c r="G138" s="151">
        <v>-2176</v>
      </c>
      <c r="H138" s="152"/>
      <c r="I138" s="152"/>
      <c r="J138" s="152"/>
      <c r="K138" s="150">
        <v>59.1</v>
      </c>
      <c r="L138" s="151">
        <v>129</v>
      </c>
      <c r="M138" s="151">
        <v>7</v>
      </c>
      <c r="N138" s="154">
        <v>7512.439982540376</v>
      </c>
      <c r="O138" s="146">
        <v>25963</v>
      </c>
      <c r="P138" s="139">
        <v>6940</v>
      </c>
      <c r="Q138" s="139">
        <v>48473</v>
      </c>
      <c r="R138" s="139">
        <v>-41533</v>
      </c>
      <c r="S138" s="146">
        <v>23597</v>
      </c>
      <c r="T138" s="139">
        <v>22821</v>
      </c>
      <c r="U138" s="160"/>
      <c r="W138" s="138">
        <v>-257</v>
      </c>
      <c r="X138" s="138">
        <v>64</v>
      </c>
      <c r="Y138" s="139">
        <v>4692</v>
      </c>
      <c r="Z138" s="138">
        <v>2463</v>
      </c>
      <c r="AC138" s="139">
        <v>2229</v>
      </c>
      <c r="AD138" s="138">
        <v>-2791</v>
      </c>
      <c r="AE138" s="138">
        <v>1300</v>
      </c>
      <c r="AG138" s="139">
        <v>738</v>
      </c>
      <c r="AH138" s="139">
        <v>5858</v>
      </c>
      <c r="AI138" s="139">
        <v>4136</v>
      </c>
      <c r="AJ138" s="176"/>
      <c r="AK138" s="139">
        <v>-1426</v>
      </c>
      <c r="AL138" s="151">
        <v>-1949</v>
      </c>
      <c r="AM138" s="151">
        <v>-6927</v>
      </c>
      <c r="AN138" s="146">
        <v>23597</v>
      </c>
      <c r="AO138" s="139">
        <v>22295</v>
      </c>
      <c r="AP138" s="139">
        <v>539</v>
      </c>
      <c r="AQ138" s="139">
        <v>763</v>
      </c>
      <c r="AR138" s="114">
        <v>19.5</v>
      </c>
      <c r="AS138" s="152"/>
      <c r="AT138" s="138">
        <v>36</v>
      </c>
      <c r="AU138" s="191">
        <v>9432</v>
      </c>
      <c r="AV138" s="146"/>
      <c r="AW138" s="150">
        <v>1.4563758389261745</v>
      </c>
      <c r="AX138" s="150">
        <v>47.9</v>
      </c>
      <c r="AY138" s="151">
        <v>-2157</v>
      </c>
      <c r="AZ138" s="152"/>
      <c r="BA138" s="152"/>
      <c r="BB138" s="152"/>
      <c r="BC138" s="150">
        <v>58.6</v>
      </c>
      <c r="BD138" s="151">
        <v>140</v>
      </c>
      <c r="BE138" s="151">
        <v>8</v>
      </c>
      <c r="BF138" s="154">
        <v>6381.57336726039</v>
      </c>
      <c r="BG138" s="146">
        <v>27928</v>
      </c>
      <c r="BH138" s="139">
        <v>7473</v>
      </c>
      <c r="BI138" s="139">
        <v>51559</v>
      </c>
      <c r="BJ138" s="139">
        <v>-44086</v>
      </c>
      <c r="BK138" s="146">
        <v>24162</v>
      </c>
      <c r="BL138" s="146">
        <v>23548</v>
      </c>
      <c r="BM138" s="160"/>
      <c r="BO138" s="138">
        <v>-307</v>
      </c>
      <c r="BP138" s="138">
        <v>57</v>
      </c>
      <c r="BQ138" s="139">
        <v>3374</v>
      </c>
      <c r="BR138" s="138">
        <v>2989</v>
      </c>
      <c r="BU138" s="139">
        <v>385</v>
      </c>
      <c r="BV138" s="138">
        <v>725</v>
      </c>
      <c r="BW138" s="138">
        <v>-1000</v>
      </c>
      <c r="BY138" s="138">
        <v>110</v>
      </c>
      <c r="BZ138" s="139">
        <v>6468</v>
      </c>
      <c r="CA138" s="139">
        <v>3029</v>
      </c>
      <c r="CB138" s="176"/>
      <c r="CC138" s="139">
        <v>-834</v>
      </c>
      <c r="CD138" s="151">
        <v>-2218</v>
      </c>
      <c r="CE138" s="151">
        <v>-413</v>
      </c>
      <c r="CF138" s="138">
        <v>24162</v>
      </c>
      <c r="CG138" s="139">
        <v>22926</v>
      </c>
      <c r="CH138" s="139">
        <v>419</v>
      </c>
      <c r="CI138" s="139">
        <v>817</v>
      </c>
      <c r="CJ138" s="114">
        <v>19.5</v>
      </c>
      <c r="CK138" s="152"/>
      <c r="CL138" s="138">
        <v>49</v>
      </c>
      <c r="CM138" s="190">
        <v>9577</v>
      </c>
      <c r="CN138" s="146"/>
      <c r="CO138" s="150">
        <v>2.885961300946892</v>
      </c>
      <c r="CP138" s="150">
        <v>50.8210017545602</v>
      </c>
      <c r="CQ138" s="151">
        <v>-2366.3986634645507</v>
      </c>
      <c r="CR138" s="152"/>
      <c r="CS138" s="152"/>
      <c r="CT138" s="152"/>
      <c r="CU138" s="150">
        <v>57.28551049521092</v>
      </c>
      <c r="CV138" s="151">
        <v>375.6917615119557</v>
      </c>
      <c r="CW138" s="151">
        <v>19.58058744595199</v>
      </c>
      <c r="CX138" s="154">
        <v>7003.236921791792</v>
      </c>
      <c r="CY138" s="146">
        <v>28049</v>
      </c>
      <c r="CZ138" s="139">
        <v>7885</v>
      </c>
      <c r="DA138" s="139">
        <v>53833</v>
      </c>
      <c r="DB138" s="139">
        <v>-45948</v>
      </c>
      <c r="DC138" s="146">
        <v>28316</v>
      </c>
      <c r="DD138" s="146">
        <v>24213</v>
      </c>
      <c r="DE138" s="160"/>
      <c r="DG138" s="138">
        <v>-205</v>
      </c>
      <c r="DH138" s="138">
        <v>423</v>
      </c>
      <c r="DI138" s="139">
        <v>6799</v>
      </c>
      <c r="DJ138" s="138">
        <v>3037</v>
      </c>
      <c r="DM138" s="139">
        <v>3762</v>
      </c>
      <c r="DN138" s="138">
        <v>702</v>
      </c>
      <c r="DO138" s="138">
        <v>-3500</v>
      </c>
      <c r="DQ138" s="138">
        <v>964</v>
      </c>
      <c r="DR138" s="139">
        <v>7433</v>
      </c>
      <c r="DS138" s="139">
        <v>6252</v>
      </c>
      <c r="DT138" s="176"/>
      <c r="DU138" s="139">
        <v>332</v>
      </c>
      <c r="DV138" s="151">
        <v>-2218</v>
      </c>
      <c r="DW138" s="138">
        <v>-2294</v>
      </c>
      <c r="DX138" s="138">
        <v>28316</v>
      </c>
      <c r="DY138" s="146">
        <v>26962</v>
      </c>
      <c r="DZ138" s="196">
        <v>480</v>
      </c>
      <c r="EA138" s="146">
        <v>874</v>
      </c>
      <c r="EB138" s="114">
        <v>20.5</v>
      </c>
      <c r="EC138" s="152"/>
      <c r="ED138" s="138">
        <v>19</v>
      </c>
      <c r="EE138" s="138">
        <v>15580</v>
      </c>
      <c r="EF138" s="138">
        <v>16428</v>
      </c>
      <c r="EG138" s="138">
        <v>18370</v>
      </c>
      <c r="EH138" s="138"/>
      <c r="EI138" s="138"/>
      <c r="EJ138" s="138"/>
      <c r="EK138" s="3">
        <v>-14037</v>
      </c>
      <c r="EL138" s="138">
        <v>2275</v>
      </c>
      <c r="EM138" s="138">
        <v>699</v>
      </c>
      <c r="EN138" s="3">
        <v>-6005</v>
      </c>
      <c r="EO138" s="138">
        <v>1953</v>
      </c>
      <c r="EP138" s="138">
        <v>610</v>
      </c>
      <c r="EQ138" s="3">
        <v>-9885</v>
      </c>
      <c r="ER138" s="138">
        <v>403</v>
      </c>
      <c r="ES138" s="138">
        <v>936</v>
      </c>
      <c r="ET138" s="163">
        <v>8000</v>
      </c>
      <c r="EU138" s="163">
        <v>800</v>
      </c>
      <c r="EV138" s="138"/>
      <c r="EW138" s="138">
        <v>3200</v>
      </c>
      <c r="EX138" s="138"/>
      <c r="EY138" s="138">
        <v>5000</v>
      </c>
      <c r="EZ138" s="138">
        <v>18610</v>
      </c>
      <c r="FA138" s="138">
        <v>15592</v>
      </c>
      <c r="FB138" s="138">
        <v>3018</v>
      </c>
      <c r="FC138" s="138">
        <v>745</v>
      </c>
      <c r="FD138" s="138">
        <v>19592</v>
      </c>
      <c r="FE138" s="138">
        <v>13374</v>
      </c>
      <c r="FF138" s="138">
        <v>6218</v>
      </c>
      <c r="FG138" s="138">
        <v>731</v>
      </c>
      <c r="FH138" s="138">
        <v>22719</v>
      </c>
      <c r="FI138" s="138">
        <v>9501</v>
      </c>
      <c r="FJ138" s="138">
        <v>13218</v>
      </c>
      <c r="FK138" s="138">
        <v>716</v>
      </c>
      <c r="FL138" s="147">
        <v>3006</v>
      </c>
      <c r="FM138" s="147">
        <v>3104.0076335877866</v>
      </c>
      <c r="FO138" s="181">
        <f t="shared" si="6"/>
        <v>1315.219512195122</v>
      </c>
      <c r="FP138" s="179">
        <f t="shared" si="8"/>
        <v>137.33105483921082</v>
      </c>
      <c r="FR138" s="184"/>
      <c r="FV138" s="184">
        <v>1949</v>
      </c>
      <c r="FW138" s="2">
        <f t="shared" si="7"/>
        <v>-1949</v>
      </c>
    </row>
    <row r="139" spans="1:179" ht="12.75">
      <c r="A139" s="82">
        <v>426</v>
      </c>
      <c r="B139" s="80" t="s">
        <v>136</v>
      </c>
      <c r="C139" s="191">
        <v>12286</v>
      </c>
      <c r="D139" s="146"/>
      <c r="E139" s="150">
        <v>0.7538153615211408</v>
      </c>
      <c r="F139" s="150">
        <v>41.3</v>
      </c>
      <c r="G139" s="151">
        <v>-2569</v>
      </c>
      <c r="H139" s="152"/>
      <c r="I139" s="152"/>
      <c r="J139" s="152"/>
      <c r="K139" s="150">
        <v>30.3</v>
      </c>
      <c r="L139" s="151">
        <v>209</v>
      </c>
      <c r="M139" s="151">
        <v>10</v>
      </c>
      <c r="N139" s="154">
        <v>8410.711378805145</v>
      </c>
      <c r="O139" s="146">
        <v>42859</v>
      </c>
      <c r="P139" s="139">
        <v>34591</v>
      </c>
      <c r="Q139" s="139">
        <v>90370</v>
      </c>
      <c r="R139" s="139">
        <v>-55779</v>
      </c>
      <c r="S139" s="146">
        <v>33159</v>
      </c>
      <c r="T139" s="139">
        <v>25170</v>
      </c>
      <c r="U139" s="160"/>
      <c r="W139" s="138">
        <v>-545</v>
      </c>
      <c r="X139" s="138">
        <v>333</v>
      </c>
      <c r="Y139" s="139">
        <v>2338</v>
      </c>
      <c r="Z139" s="138">
        <v>2099</v>
      </c>
      <c r="AC139" s="139">
        <v>239</v>
      </c>
      <c r="AD139" s="138">
        <v>119</v>
      </c>
      <c r="AG139" s="139">
        <v>358</v>
      </c>
      <c r="AH139" s="139">
        <v>-514</v>
      </c>
      <c r="AI139" s="139">
        <v>1933</v>
      </c>
      <c r="AJ139" s="176"/>
      <c r="AK139" s="138">
        <v>1477</v>
      </c>
      <c r="AL139" s="151">
        <v>-3322</v>
      </c>
      <c r="AM139" s="151">
        <v>-362</v>
      </c>
      <c r="AN139" s="146">
        <v>33159</v>
      </c>
      <c r="AO139" s="139">
        <v>30079</v>
      </c>
      <c r="AP139" s="139">
        <v>1265</v>
      </c>
      <c r="AQ139" s="139">
        <v>1815</v>
      </c>
      <c r="AR139" s="114">
        <v>20</v>
      </c>
      <c r="AS139" s="152"/>
      <c r="AT139" s="138">
        <v>209</v>
      </c>
      <c r="AU139" s="191">
        <v>12397</v>
      </c>
      <c r="AV139" s="146"/>
      <c r="AW139" s="150">
        <v>-0.322871883061049</v>
      </c>
      <c r="AX139" s="150">
        <v>48.1</v>
      </c>
      <c r="AY139" s="151">
        <v>-2972</v>
      </c>
      <c r="AZ139" s="152"/>
      <c r="BA139" s="152"/>
      <c r="BB139" s="152"/>
      <c r="BC139" s="150">
        <v>21.4</v>
      </c>
      <c r="BD139" s="151">
        <v>275</v>
      </c>
      <c r="BE139" s="151">
        <v>12</v>
      </c>
      <c r="BF139" s="154">
        <v>8390.981689118336</v>
      </c>
      <c r="BG139" s="146">
        <v>45646</v>
      </c>
      <c r="BH139" s="139">
        <v>35872</v>
      </c>
      <c r="BI139" s="139">
        <v>96037</v>
      </c>
      <c r="BJ139" s="139">
        <v>-60165</v>
      </c>
      <c r="BK139" s="146">
        <v>33289</v>
      </c>
      <c r="BL139" s="146">
        <v>24915</v>
      </c>
      <c r="BM139" s="160"/>
      <c r="BO139" s="138">
        <v>-536</v>
      </c>
      <c r="BP139" s="138">
        <v>379</v>
      </c>
      <c r="BQ139" s="139">
        <v>-2118</v>
      </c>
      <c r="BR139" s="138">
        <v>2243</v>
      </c>
      <c r="BU139" s="139">
        <v>-4361</v>
      </c>
      <c r="BV139" s="138">
        <v>119</v>
      </c>
      <c r="BY139" s="138">
        <v>-4242</v>
      </c>
      <c r="BZ139" s="139">
        <v>-4756</v>
      </c>
      <c r="CA139" s="139">
        <v>-2444</v>
      </c>
      <c r="CB139" s="176"/>
      <c r="CC139" s="138">
        <v>-794</v>
      </c>
      <c r="CD139" s="151">
        <v>-4036</v>
      </c>
      <c r="CE139" s="151">
        <v>-5281</v>
      </c>
      <c r="CF139" s="138">
        <v>33289</v>
      </c>
      <c r="CG139" s="139">
        <v>30589</v>
      </c>
      <c r="CH139" s="139">
        <v>816</v>
      </c>
      <c r="CI139" s="139">
        <v>1884</v>
      </c>
      <c r="CJ139" s="114">
        <v>20</v>
      </c>
      <c r="CK139" s="152"/>
      <c r="CL139" s="138">
        <v>299</v>
      </c>
      <c r="CM139" s="190">
        <v>12396</v>
      </c>
      <c r="CN139" s="146"/>
      <c r="CO139" s="150">
        <v>0.804295500833179</v>
      </c>
      <c r="CP139" s="150">
        <v>44.64772990444353</v>
      </c>
      <c r="CQ139" s="151">
        <v>-2907.9541787673443</v>
      </c>
      <c r="CR139" s="152"/>
      <c r="CS139" s="152"/>
      <c r="CT139" s="152"/>
      <c r="CU139" s="150">
        <v>23.762699066447006</v>
      </c>
      <c r="CV139" s="151">
        <v>293.96579541787673</v>
      </c>
      <c r="CW139" s="151">
        <v>12.783752871408936</v>
      </c>
      <c r="CX139" s="154">
        <v>8393.272023233301</v>
      </c>
      <c r="CY139" s="146">
        <v>44753</v>
      </c>
      <c r="CZ139" s="139">
        <v>35373</v>
      </c>
      <c r="DA139" s="139">
        <v>95376</v>
      </c>
      <c r="DB139" s="139">
        <v>-60003</v>
      </c>
      <c r="DC139" s="146">
        <v>36922</v>
      </c>
      <c r="DD139" s="146">
        <v>27018</v>
      </c>
      <c r="DE139" s="160"/>
      <c r="DG139" s="138">
        <v>-534</v>
      </c>
      <c r="DH139" s="138">
        <v>333</v>
      </c>
      <c r="DI139" s="139">
        <v>3736</v>
      </c>
      <c r="DJ139" s="138">
        <v>2272</v>
      </c>
      <c r="DM139" s="139">
        <v>1464</v>
      </c>
      <c r="DN139" s="138">
        <v>119</v>
      </c>
      <c r="DQ139" s="138">
        <v>1583</v>
      </c>
      <c r="DR139" s="139">
        <v>-3172</v>
      </c>
      <c r="DS139" s="139">
        <v>3257</v>
      </c>
      <c r="DT139" s="176"/>
      <c r="DU139" s="138">
        <v>364</v>
      </c>
      <c r="DV139" s="151">
        <v>-4794</v>
      </c>
      <c r="DW139" s="138">
        <v>565</v>
      </c>
      <c r="DX139" s="138">
        <v>36922</v>
      </c>
      <c r="DY139" s="146">
        <v>33961</v>
      </c>
      <c r="DZ139" s="196">
        <v>963</v>
      </c>
      <c r="EA139" s="146">
        <v>1998</v>
      </c>
      <c r="EB139" s="114">
        <v>20.5</v>
      </c>
      <c r="EC139" s="152"/>
      <c r="ED139" s="138">
        <v>145</v>
      </c>
      <c r="EE139" s="138">
        <v>37236</v>
      </c>
      <c r="EF139" s="138">
        <v>39154</v>
      </c>
      <c r="EG139" s="138">
        <v>39050</v>
      </c>
      <c r="EH139" s="138"/>
      <c r="EI139" s="138"/>
      <c r="EJ139" s="138">
        <v>1250</v>
      </c>
      <c r="EK139" s="3">
        <v>-3227</v>
      </c>
      <c r="EL139" s="138">
        <v>57</v>
      </c>
      <c r="EM139" s="138">
        <v>875</v>
      </c>
      <c r="EN139" s="3">
        <v>-3331</v>
      </c>
      <c r="EO139" s="138">
        <v>102</v>
      </c>
      <c r="EP139" s="138">
        <v>392</v>
      </c>
      <c r="EQ139" s="3">
        <v>-3251</v>
      </c>
      <c r="ER139" s="138">
        <v>59</v>
      </c>
      <c r="ES139" s="138">
        <v>500</v>
      </c>
      <c r="ET139" s="163">
        <v>5000</v>
      </c>
      <c r="EU139" s="163">
        <v>-2400</v>
      </c>
      <c r="EV139" s="138">
        <v>6000</v>
      </c>
      <c r="EW139" s="138">
        <v>3628</v>
      </c>
      <c r="EX139" s="138">
        <v>5000</v>
      </c>
      <c r="EY139" s="138">
        <v>-1781</v>
      </c>
      <c r="EZ139" s="138">
        <v>25627</v>
      </c>
      <c r="FA139" s="138">
        <v>19590</v>
      </c>
      <c r="FB139" s="138">
        <v>6037</v>
      </c>
      <c r="FC139" s="138">
        <v>1784</v>
      </c>
      <c r="FD139" s="138">
        <v>31217</v>
      </c>
      <c r="FE139" s="138">
        <v>21153</v>
      </c>
      <c r="FF139" s="138">
        <v>10064</v>
      </c>
      <c r="FG139" s="138">
        <v>1782</v>
      </c>
      <c r="FH139" s="138">
        <v>29643</v>
      </c>
      <c r="FI139" s="138">
        <v>21097</v>
      </c>
      <c r="FJ139" s="138">
        <v>8546</v>
      </c>
      <c r="FK139" s="138">
        <v>1530</v>
      </c>
      <c r="FL139" s="147">
        <v>3686</v>
      </c>
      <c r="FM139" s="147">
        <v>3928.6117609098974</v>
      </c>
      <c r="FO139" s="181">
        <f t="shared" si="6"/>
        <v>1656.6341463414635</v>
      </c>
      <c r="FP139" s="179">
        <f t="shared" si="8"/>
        <v>133.64263845929844</v>
      </c>
      <c r="FR139" s="184"/>
      <c r="FV139" s="184">
        <v>3322</v>
      </c>
      <c r="FW139" s="2">
        <f t="shared" si="7"/>
        <v>-3322</v>
      </c>
    </row>
    <row r="140" spans="1:179" ht="12.75">
      <c r="A140" s="82">
        <v>444</v>
      </c>
      <c r="B140" s="80" t="s">
        <v>145</v>
      </c>
      <c r="C140" s="191">
        <v>39726</v>
      </c>
      <c r="D140" s="146"/>
      <c r="E140" s="150">
        <v>1.8733705772811917</v>
      </c>
      <c r="F140" s="150">
        <v>35.7</v>
      </c>
      <c r="G140" s="151">
        <v>-1831</v>
      </c>
      <c r="H140" s="152"/>
      <c r="I140" s="152"/>
      <c r="J140" s="152"/>
      <c r="K140" s="150">
        <v>59.4</v>
      </c>
      <c r="L140" s="151">
        <v>111</v>
      </c>
      <c r="M140" s="151">
        <v>6</v>
      </c>
      <c r="N140" s="154">
        <v>6063.333836781957</v>
      </c>
      <c r="O140" s="146">
        <v>110534</v>
      </c>
      <c r="P140" s="139">
        <v>60589</v>
      </c>
      <c r="Q140" s="139">
        <v>236882</v>
      </c>
      <c r="R140" s="139">
        <v>-176293</v>
      </c>
      <c r="S140" s="146">
        <v>142231</v>
      </c>
      <c r="T140" s="139">
        <v>45690</v>
      </c>
      <c r="U140" s="160"/>
      <c r="W140" s="138">
        <v>-1486</v>
      </c>
      <c r="X140" s="138">
        <v>694</v>
      </c>
      <c r="Y140" s="139">
        <v>10836</v>
      </c>
      <c r="Z140" s="138">
        <v>9231</v>
      </c>
      <c r="AC140" s="139">
        <v>1605</v>
      </c>
      <c r="AD140" s="139">
        <v>25</v>
      </c>
      <c r="AE140" s="139"/>
      <c r="AG140" s="139">
        <v>1630</v>
      </c>
      <c r="AH140" s="139">
        <v>21496</v>
      </c>
      <c r="AI140" s="139">
        <v>8873</v>
      </c>
      <c r="AJ140" s="176"/>
      <c r="AK140" s="138">
        <v>-2506</v>
      </c>
      <c r="AL140" s="151">
        <v>-5677</v>
      </c>
      <c r="AM140" s="151">
        <v>-609</v>
      </c>
      <c r="AN140" s="146">
        <v>142231</v>
      </c>
      <c r="AO140" s="139">
        <v>128640</v>
      </c>
      <c r="AP140" s="139">
        <v>6290</v>
      </c>
      <c r="AQ140" s="139">
        <v>7301</v>
      </c>
      <c r="AR140" s="114">
        <v>19.5</v>
      </c>
      <c r="AS140" s="152"/>
      <c r="AT140" s="138">
        <v>150</v>
      </c>
      <c r="AU140" s="191">
        <v>39854</v>
      </c>
      <c r="AV140" s="146"/>
      <c r="AW140" s="150">
        <v>0.3860826098395159</v>
      </c>
      <c r="AX140" s="150">
        <v>39.2</v>
      </c>
      <c r="AY140" s="151">
        <v>-2143</v>
      </c>
      <c r="AZ140" s="152"/>
      <c r="BA140" s="152"/>
      <c r="BB140" s="152"/>
      <c r="BC140" s="150">
        <v>54.9</v>
      </c>
      <c r="BD140" s="151">
        <v>109</v>
      </c>
      <c r="BE140" s="151">
        <v>6</v>
      </c>
      <c r="BF140" s="154">
        <v>6899.608571285191</v>
      </c>
      <c r="BG140" s="146">
        <v>118829</v>
      </c>
      <c r="BH140" s="139">
        <v>62225</v>
      </c>
      <c r="BI140" s="139">
        <v>253449</v>
      </c>
      <c r="BJ140" s="139">
        <v>-191224</v>
      </c>
      <c r="BK140" s="146">
        <v>143816</v>
      </c>
      <c r="BL140" s="146">
        <v>49617</v>
      </c>
      <c r="BM140" s="160"/>
      <c r="BO140" s="138">
        <v>-1231</v>
      </c>
      <c r="BP140" s="138">
        <v>591</v>
      </c>
      <c r="BQ140" s="139">
        <v>1569</v>
      </c>
      <c r="BR140" s="138">
        <v>9340</v>
      </c>
      <c r="BU140" s="139">
        <v>-7771</v>
      </c>
      <c r="BV140" s="139">
        <v>25</v>
      </c>
      <c r="BW140" s="139"/>
      <c r="BY140" s="138">
        <v>-7746</v>
      </c>
      <c r="BZ140" s="139">
        <v>13750</v>
      </c>
      <c r="CA140" s="139">
        <v>-127</v>
      </c>
      <c r="CB140" s="176"/>
      <c r="CC140" s="138">
        <v>553</v>
      </c>
      <c r="CD140" s="151">
        <v>-6236</v>
      </c>
      <c r="CE140" s="151">
        <v>-11669</v>
      </c>
      <c r="CF140" s="138">
        <v>143816</v>
      </c>
      <c r="CG140" s="139">
        <v>131792</v>
      </c>
      <c r="CH140" s="139">
        <v>4535</v>
      </c>
      <c r="CI140" s="139">
        <v>7489</v>
      </c>
      <c r="CJ140" s="114">
        <v>19.5</v>
      </c>
      <c r="CK140" s="152"/>
      <c r="CL140" s="138">
        <v>226</v>
      </c>
      <c r="CM140" s="190">
        <v>47703</v>
      </c>
      <c r="CN140" s="146"/>
      <c r="CO140" s="150">
        <v>1.4198560060629026</v>
      </c>
      <c r="CP140" s="150">
        <v>40.65137368333396</v>
      </c>
      <c r="CQ140" s="151">
        <v>-2222.9209902941116</v>
      </c>
      <c r="CR140" s="152"/>
      <c r="CS140" s="152"/>
      <c r="CT140" s="152"/>
      <c r="CU140" s="150">
        <v>53.62609758133675</v>
      </c>
      <c r="CV140" s="151">
        <v>59.30444626124143</v>
      </c>
      <c r="CW140" s="151">
        <v>3.326862728672779</v>
      </c>
      <c r="CX140" s="154">
        <v>6506.467098505335</v>
      </c>
      <c r="CY140" s="146">
        <v>130226</v>
      </c>
      <c r="CZ140" s="139">
        <v>50961</v>
      </c>
      <c r="DA140" s="139">
        <v>283698</v>
      </c>
      <c r="DB140" s="139">
        <v>-232737</v>
      </c>
      <c r="DC140" s="146">
        <v>179744</v>
      </c>
      <c r="DD140" s="146">
        <v>63504</v>
      </c>
      <c r="DE140" s="160"/>
      <c r="DG140" s="138">
        <v>-1279</v>
      </c>
      <c r="DH140" s="138">
        <v>595</v>
      </c>
      <c r="DI140" s="139">
        <v>9827</v>
      </c>
      <c r="DJ140" s="138">
        <v>11602</v>
      </c>
      <c r="DM140" s="139">
        <v>-1775</v>
      </c>
      <c r="DN140" s="139">
        <v>82</v>
      </c>
      <c r="DO140" s="139"/>
      <c r="DQ140" s="138">
        <v>-1693</v>
      </c>
      <c r="DR140" s="139">
        <v>11439</v>
      </c>
      <c r="DS140" s="139">
        <v>8819</v>
      </c>
      <c r="DT140" s="176"/>
      <c r="DU140" s="138">
        <v>1235</v>
      </c>
      <c r="DV140" s="151">
        <v>-6503</v>
      </c>
      <c r="DW140" s="138">
        <v>-7769</v>
      </c>
      <c r="DX140" s="138">
        <v>179744</v>
      </c>
      <c r="DY140" s="146">
        <v>162857</v>
      </c>
      <c r="DZ140" s="196">
        <v>5509</v>
      </c>
      <c r="EA140" s="146">
        <v>11378</v>
      </c>
      <c r="EB140" s="114">
        <v>19.5</v>
      </c>
      <c r="EC140" s="152"/>
      <c r="ED140" s="138">
        <v>194</v>
      </c>
      <c r="EE140" s="138">
        <v>97810</v>
      </c>
      <c r="EF140" s="138">
        <v>103097</v>
      </c>
      <c r="EG140" s="138">
        <v>118897</v>
      </c>
      <c r="EH140" s="138"/>
      <c r="EI140" s="138"/>
      <c r="EJ140" s="138"/>
      <c r="EK140" s="3">
        <v>-14389</v>
      </c>
      <c r="EL140" s="138">
        <v>2383</v>
      </c>
      <c r="EM140" s="138">
        <v>2524</v>
      </c>
      <c r="EN140" s="3">
        <v>-13767</v>
      </c>
      <c r="EO140" s="138">
        <v>407</v>
      </c>
      <c r="EP140" s="138">
        <v>1818</v>
      </c>
      <c r="EQ140" s="3">
        <v>-18548</v>
      </c>
      <c r="ER140" s="138">
        <v>258</v>
      </c>
      <c r="ES140" s="138">
        <v>1702</v>
      </c>
      <c r="ET140" s="163">
        <v>10000</v>
      </c>
      <c r="EU140" s="163">
        <v>-3296</v>
      </c>
      <c r="EV140" s="138"/>
      <c r="EW140" s="138">
        <v>13551</v>
      </c>
      <c r="EX140" s="138">
        <v>15000</v>
      </c>
      <c r="EY140" s="138">
        <v>-5579</v>
      </c>
      <c r="EZ140" s="138">
        <v>58850</v>
      </c>
      <c r="FA140" s="138">
        <v>45367</v>
      </c>
      <c r="FB140" s="138">
        <v>13483</v>
      </c>
      <c r="FC140" s="138">
        <v>2843</v>
      </c>
      <c r="FD140" s="138">
        <v>66250</v>
      </c>
      <c r="FE140" s="138">
        <v>40481</v>
      </c>
      <c r="FF140" s="138">
        <v>25769</v>
      </c>
      <c r="FG140" s="138">
        <v>2831</v>
      </c>
      <c r="FH140" s="138">
        <v>81251</v>
      </c>
      <c r="FI140" s="138">
        <v>58025</v>
      </c>
      <c r="FJ140" s="138">
        <v>23226</v>
      </c>
      <c r="FK140" s="138">
        <v>3410</v>
      </c>
      <c r="FL140" s="147">
        <v>2517</v>
      </c>
      <c r="FM140" s="147">
        <v>2765.192954283133</v>
      </c>
      <c r="FO140" s="181">
        <f t="shared" si="6"/>
        <v>8351.641025641025</v>
      </c>
      <c r="FP140" s="179">
        <f t="shared" si="8"/>
        <v>175.07580289795243</v>
      </c>
      <c r="FR140" s="184"/>
      <c r="FV140" s="184">
        <v>5677</v>
      </c>
      <c r="FW140" s="2">
        <f t="shared" si="7"/>
        <v>-5677</v>
      </c>
    </row>
    <row r="141" spans="1:179" ht="12.75">
      <c r="A141" s="82">
        <v>430</v>
      </c>
      <c r="B141" s="80" t="s">
        <v>137</v>
      </c>
      <c r="C141" s="191">
        <v>16848</v>
      </c>
      <c r="D141" s="146"/>
      <c r="E141" s="150">
        <v>0.544825158413518</v>
      </c>
      <c r="F141" s="150">
        <v>37.7</v>
      </c>
      <c r="G141" s="151">
        <v>-2136</v>
      </c>
      <c r="H141" s="152"/>
      <c r="I141" s="152"/>
      <c r="J141" s="152"/>
      <c r="K141" s="150">
        <v>52.2</v>
      </c>
      <c r="L141" s="151">
        <v>155</v>
      </c>
      <c r="M141" s="151">
        <v>8</v>
      </c>
      <c r="N141" s="154">
        <v>6582.680436847103</v>
      </c>
      <c r="O141" s="146">
        <v>49570</v>
      </c>
      <c r="P141" s="139">
        <v>20017</v>
      </c>
      <c r="Q141" s="139">
        <v>105912</v>
      </c>
      <c r="R141" s="139">
        <v>-85895</v>
      </c>
      <c r="S141" s="146">
        <v>50518</v>
      </c>
      <c r="T141" s="139">
        <v>39912</v>
      </c>
      <c r="U141" s="160"/>
      <c r="W141" s="138">
        <v>-630</v>
      </c>
      <c r="X141" s="138">
        <v>310</v>
      </c>
      <c r="Y141" s="139">
        <v>4215</v>
      </c>
      <c r="Z141" s="138">
        <v>3624</v>
      </c>
      <c r="AC141" s="139">
        <v>591</v>
      </c>
      <c r="AD141" s="139">
        <v>745</v>
      </c>
      <c r="AG141" s="139">
        <v>1336</v>
      </c>
      <c r="AH141" s="139">
        <v>3456</v>
      </c>
      <c r="AI141" s="139">
        <v>3909</v>
      </c>
      <c r="AJ141" s="176"/>
      <c r="AK141" s="139">
        <v>390</v>
      </c>
      <c r="AL141" s="151">
        <v>-8094</v>
      </c>
      <c r="AM141" s="151">
        <v>2690</v>
      </c>
      <c r="AN141" s="146">
        <v>50518</v>
      </c>
      <c r="AO141" s="139">
        <v>44130</v>
      </c>
      <c r="AP141" s="139">
        <v>3483</v>
      </c>
      <c r="AQ141" s="139">
        <v>2905</v>
      </c>
      <c r="AR141" s="114">
        <v>20.5</v>
      </c>
      <c r="AS141" s="152"/>
      <c r="AT141" s="138">
        <v>163</v>
      </c>
      <c r="AU141" s="191">
        <v>16737</v>
      </c>
      <c r="AV141" s="146"/>
      <c r="AW141" s="150">
        <v>-0.11519036519036518</v>
      </c>
      <c r="AX141" s="150">
        <v>47.2</v>
      </c>
      <c r="AY141" s="151">
        <v>-2641</v>
      </c>
      <c r="AZ141" s="152"/>
      <c r="BA141" s="152"/>
      <c r="BB141" s="152"/>
      <c r="BC141" s="150">
        <v>44.5</v>
      </c>
      <c r="BD141" s="151">
        <v>197</v>
      </c>
      <c r="BE141" s="151">
        <v>10</v>
      </c>
      <c r="BF141" s="154">
        <v>7381.251120272451</v>
      </c>
      <c r="BG141" s="146">
        <v>51792</v>
      </c>
      <c r="BH141" s="139">
        <v>18584</v>
      </c>
      <c r="BI141" s="139">
        <v>110388</v>
      </c>
      <c r="BJ141" s="139">
        <v>-91804</v>
      </c>
      <c r="BK141" s="146">
        <v>50075</v>
      </c>
      <c r="BL141" s="146">
        <v>40990</v>
      </c>
      <c r="BM141" s="160"/>
      <c r="BO141" s="138">
        <v>-603</v>
      </c>
      <c r="BP141" s="138">
        <v>132</v>
      </c>
      <c r="BQ141" s="139">
        <v>-1210</v>
      </c>
      <c r="BR141" s="138">
        <v>3535</v>
      </c>
      <c r="BS141" s="138">
        <v>208</v>
      </c>
      <c r="BU141" s="139">
        <v>-4537</v>
      </c>
      <c r="BV141" s="139">
        <v>106</v>
      </c>
      <c r="BY141" s="138">
        <v>-4431</v>
      </c>
      <c r="BZ141" s="139">
        <v>-975</v>
      </c>
      <c r="CA141" s="139">
        <v>-1571</v>
      </c>
      <c r="CB141" s="176"/>
      <c r="CC141" s="139">
        <v>-1247</v>
      </c>
      <c r="CD141" s="151">
        <v>-4531</v>
      </c>
      <c r="CE141" s="151">
        <v>-8071</v>
      </c>
      <c r="CF141" s="138">
        <v>50075</v>
      </c>
      <c r="CG141" s="139">
        <v>44764</v>
      </c>
      <c r="CH141" s="139">
        <v>2304</v>
      </c>
      <c r="CI141" s="139">
        <v>3007</v>
      </c>
      <c r="CJ141" s="114">
        <v>20.5</v>
      </c>
      <c r="CK141" s="152"/>
      <c r="CL141" s="138">
        <v>277</v>
      </c>
      <c r="CM141" s="190">
        <v>16700</v>
      </c>
      <c r="CN141" s="146"/>
      <c r="CO141" s="150">
        <v>1.1437554585152838</v>
      </c>
      <c r="CP141" s="150">
        <v>44.79696434688661</v>
      </c>
      <c r="CQ141" s="151">
        <v>-2376.6467065868264</v>
      </c>
      <c r="CR141" s="152"/>
      <c r="CS141" s="152"/>
      <c r="CT141" s="152"/>
      <c r="CU141" s="150">
        <v>46.31156071770534</v>
      </c>
      <c r="CV141" s="151">
        <v>249.94011976047904</v>
      </c>
      <c r="CW141" s="151">
        <v>12.886965936677916</v>
      </c>
      <c r="CX141" s="154">
        <v>7079.101796407186</v>
      </c>
      <c r="CY141" s="146">
        <v>49319</v>
      </c>
      <c r="CZ141" s="139">
        <v>18660</v>
      </c>
      <c r="DA141" s="139">
        <v>107469</v>
      </c>
      <c r="DB141" s="139">
        <v>-88809</v>
      </c>
      <c r="DC141" s="146">
        <v>53365</v>
      </c>
      <c r="DD141" s="146">
        <v>41833</v>
      </c>
      <c r="DE141" s="160"/>
      <c r="DG141" s="138">
        <v>-485</v>
      </c>
      <c r="DH141" s="138">
        <v>154</v>
      </c>
      <c r="DI141" s="139">
        <v>6058</v>
      </c>
      <c r="DJ141" s="138">
        <v>3643</v>
      </c>
      <c r="DM141" s="139">
        <v>2415</v>
      </c>
      <c r="DN141" s="139">
        <v>87</v>
      </c>
      <c r="DQ141" s="138">
        <v>2502</v>
      </c>
      <c r="DR141" s="139">
        <v>1509</v>
      </c>
      <c r="DS141" s="139">
        <v>5461</v>
      </c>
      <c r="DT141" s="176"/>
      <c r="DU141" s="139">
        <v>-2934</v>
      </c>
      <c r="DV141" s="151">
        <v>-5235</v>
      </c>
      <c r="DW141" s="138">
        <v>4306</v>
      </c>
      <c r="DX141" s="138">
        <v>53365</v>
      </c>
      <c r="DY141" s="146">
        <v>47217</v>
      </c>
      <c r="DZ141" s="196">
        <v>2389</v>
      </c>
      <c r="EA141" s="146">
        <v>3759</v>
      </c>
      <c r="EB141" s="114">
        <v>20.5</v>
      </c>
      <c r="EC141" s="152"/>
      <c r="ED141" s="138">
        <v>106</v>
      </c>
      <c r="EE141" s="138">
        <v>42254</v>
      </c>
      <c r="EF141" s="138">
        <v>45074</v>
      </c>
      <c r="EG141" s="138">
        <v>44999</v>
      </c>
      <c r="EH141" s="138"/>
      <c r="EI141" s="138"/>
      <c r="EJ141" s="138"/>
      <c r="EK141" s="3">
        <v>-4136</v>
      </c>
      <c r="EL141" s="138">
        <v>610</v>
      </c>
      <c r="EM141" s="138">
        <v>2307</v>
      </c>
      <c r="EN141" s="3">
        <v>-7993</v>
      </c>
      <c r="EO141" s="138">
        <v>1074</v>
      </c>
      <c r="EP141" s="138">
        <v>419</v>
      </c>
      <c r="EQ141" s="3">
        <v>-5004</v>
      </c>
      <c r="ER141" s="138">
        <v>3325</v>
      </c>
      <c r="ES141" s="138">
        <v>524</v>
      </c>
      <c r="ET141" s="163">
        <v>7400</v>
      </c>
      <c r="EU141" s="163">
        <v>-7000</v>
      </c>
      <c r="EV141" s="138">
        <v>2500</v>
      </c>
      <c r="EW141" s="138">
        <v>11000</v>
      </c>
      <c r="EX141" s="138">
        <v>8500</v>
      </c>
      <c r="EY141" s="138">
        <v>-4000</v>
      </c>
      <c r="EZ141" s="138">
        <v>30397</v>
      </c>
      <c r="FA141" s="138">
        <v>22867</v>
      </c>
      <c r="FB141" s="138">
        <v>7530</v>
      </c>
      <c r="FC141" s="138">
        <v>679</v>
      </c>
      <c r="FD141" s="138">
        <v>39366</v>
      </c>
      <c r="FE141" s="138">
        <v>20432</v>
      </c>
      <c r="FF141" s="138">
        <v>18934</v>
      </c>
      <c r="FG141" s="138">
        <v>670</v>
      </c>
      <c r="FH141" s="138">
        <v>38632</v>
      </c>
      <c r="FI141" s="138">
        <v>23248</v>
      </c>
      <c r="FJ141" s="138">
        <v>15384</v>
      </c>
      <c r="FK141" s="138">
        <v>644</v>
      </c>
      <c r="FL141" s="147">
        <v>3199</v>
      </c>
      <c r="FM141" s="147">
        <v>3966.660691880265</v>
      </c>
      <c r="FO141" s="181">
        <f t="shared" si="6"/>
        <v>2303.268292682927</v>
      </c>
      <c r="FP141" s="179">
        <f t="shared" si="8"/>
        <v>137.92025704688186</v>
      </c>
      <c r="FR141" s="184"/>
      <c r="FV141" s="184">
        <v>8094</v>
      </c>
      <c r="FW141" s="2">
        <f t="shared" si="7"/>
        <v>-8094</v>
      </c>
    </row>
    <row r="142" spans="1:179" ht="12.75">
      <c r="A142" s="82">
        <v>433</v>
      </c>
      <c r="B142" s="80" t="s">
        <v>138</v>
      </c>
      <c r="C142" s="191">
        <v>8377</v>
      </c>
      <c r="D142" s="146"/>
      <c r="E142" s="150">
        <v>0.913572343149808</v>
      </c>
      <c r="F142" s="150">
        <v>49.6</v>
      </c>
      <c r="G142" s="151">
        <v>-2384</v>
      </c>
      <c r="H142" s="152"/>
      <c r="I142" s="152"/>
      <c r="J142" s="152"/>
      <c r="K142" s="150">
        <v>49.8</v>
      </c>
      <c r="L142" s="151">
        <v>93</v>
      </c>
      <c r="M142" s="151">
        <v>6</v>
      </c>
      <c r="N142" s="154">
        <v>5800.644622179778</v>
      </c>
      <c r="O142" s="146">
        <v>16632</v>
      </c>
      <c r="P142" s="139">
        <v>5365</v>
      </c>
      <c r="Q142" s="139">
        <v>40768</v>
      </c>
      <c r="R142" s="139">
        <v>-35403</v>
      </c>
      <c r="S142" s="146">
        <v>24389</v>
      </c>
      <c r="T142" s="139">
        <v>14830</v>
      </c>
      <c r="U142" s="160"/>
      <c r="W142" s="138">
        <v>-377</v>
      </c>
      <c r="X142" s="138">
        <v>34</v>
      </c>
      <c r="Y142" s="139">
        <v>3473</v>
      </c>
      <c r="Z142" s="138">
        <v>1401</v>
      </c>
      <c r="AC142" s="139">
        <v>2072</v>
      </c>
      <c r="AG142" s="139">
        <v>2072</v>
      </c>
      <c r="AH142" s="139">
        <v>6192</v>
      </c>
      <c r="AI142" s="139">
        <v>3191</v>
      </c>
      <c r="AJ142" s="176"/>
      <c r="AK142" s="138">
        <v>264</v>
      </c>
      <c r="AL142" s="151">
        <v>-3878</v>
      </c>
      <c r="AM142" s="151">
        <v>3079</v>
      </c>
      <c r="AN142" s="146">
        <v>24389</v>
      </c>
      <c r="AO142" s="139">
        <v>21536</v>
      </c>
      <c r="AP142" s="139">
        <v>1364</v>
      </c>
      <c r="AQ142" s="139">
        <v>1489</v>
      </c>
      <c r="AR142" s="114">
        <v>20</v>
      </c>
      <c r="AS142" s="152"/>
      <c r="AT142" s="138">
        <v>71</v>
      </c>
      <c r="AU142" s="191">
        <v>8336</v>
      </c>
      <c r="AV142" s="146"/>
      <c r="AW142" s="150">
        <v>0.6659110723626853</v>
      </c>
      <c r="AX142" s="150">
        <v>44.8</v>
      </c>
      <c r="AY142" s="151">
        <v>-2195</v>
      </c>
      <c r="AZ142" s="152"/>
      <c r="BA142" s="152"/>
      <c r="BB142" s="152"/>
      <c r="BC142" s="150">
        <v>53.8</v>
      </c>
      <c r="BD142" s="151">
        <v>141</v>
      </c>
      <c r="BE142" s="151">
        <v>8</v>
      </c>
      <c r="BF142" s="154">
        <v>6073.536468330134</v>
      </c>
      <c r="BG142" s="146">
        <v>17363</v>
      </c>
      <c r="BH142" s="139">
        <v>5453</v>
      </c>
      <c r="BI142" s="139">
        <v>42334</v>
      </c>
      <c r="BJ142" s="139">
        <v>-36881</v>
      </c>
      <c r="BK142" s="146">
        <v>24981</v>
      </c>
      <c r="BL142" s="146">
        <v>15660</v>
      </c>
      <c r="BM142" s="160"/>
      <c r="BO142" s="138">
        <v>-284</v>
      </c>
      <c r="BP142" s="138">
        <v>26</v>
      </c>
      <c r="BQ142" s="139">
        <v>3502</v>
      </c>
      <c r="BR142" s="138">
        <v>1312</v>
      </c>
      <c r="BU142" s="139">
        <v>2190</v>
      </c>
      <c r="BY142" s="138">
        <v>2190</v>
      </c>
      <c r="BZ142" s="139">
        <v>8382</v>
      </c>
      <c r="CA142" s="139">
        <v>3344</v>
      </c>
      <c r="CB142" s="176"/>
      <c r="CC142" s="138">
        <v>184</v>
      </c>
      <c r="CD142" s="151">
        <v>-5418</v>
      </c>
      <c r="CE142" s="151">
        <v>1697</v>
      </c>
      <c r="CF142" s="138">
        <v>24981</v>
      </c>
      <c r="CG142" s="139">
        <v>22472</v>
      </c>
      <c r="CH142" s="139">
        <v>970</v>
      </c>
      <c r="CI142" s="139">
        <v>1539</v>
      </c>
      <c r="CJ142" s="114">
        <v>20</v>
      </c>
      <c r="CK142" s="152"/>
      <c r="CL142" s="138">
        <v>36</v>
      </c>
      <c r="CM142" s="190">
        <v>8341</v>
      </c>
      <c r="CN142" s="146"/>
      <c r="CO142" s="150">
        <v>0.7544378698224852</v>
      </c>
      <c r="CP142" s="150">
        <v>42.8328696132362</v>
      </c>
      <c r="CQ142" s="151">
        <v>-2154.2980457978656</v>
      </c>
      <c r="CR142" s="152"/>
      <c r="CS142" s="152"/>
      <c r="CT142" s="152"/>
      <c r="CU142" s="150">
        <v>56.2737397798236</v>
      </c>
      <c r="CV142" s="151">
        <v>113.77532669943652</v>
      </c>
      <c r="CW142" s="151">
        <v>6.732720416731458</v>
      </c>
      <c r="CX142" s="154">
        <v>6168.085361467451</v>
      </c>
      <c r="CY142" s="146">
        <v>17708</v>
      </c>
      <c r="CZ142" s="139">
        <v>5296</v>
      </c>
      <c r="DA142" s="139">
        <v>43584</v>
      </c>
      <c r="DB142" s="139">
        <v>-38288</v>
      </c>
      <c r="DC142" s="146">
        <v>26029</v>
      </c>
      <c r="DD142" s="146">
        <v>15799</v>
      </c>
      <c r="DE142" s="160"/>
      <c r="DG142" s="138">
        <v>-335</v>
      </c>
      <c r="DH142" s="138">
        <v>13</v>
      </c>
      <c r="DI142" s="139">
        <v>3218</v>
      </c>
      <c r="DJ142" s="138">
        <v>1470</v>
      </c>
      <c r="DM142" s="139">
        <v>1748</v>
      </c>
      <c r="DQ142" s="138">
        <v>1748</v>
      </c>
      <c r="DR142" s="139">
        <v>10200</v>
      </c>
      <c r="DS142" s="139">
        <v>3104</v>
      </c>
      <c r="DT142" s="176"/>
      <c r="DU142" s="138">
        <v>-68</v>
      </c>
      <c r="DV142" s="151">
        <v>-4380</v>
      </c>
      <c r="DW142" s="138">
        <v>101</v>
      </c>
      <c r="DX142" s="138">
        <v>26029</v>
      </c>
      <c r="DY142" s="146">
        <v>23355</v>
      </c>
      <c r="DZ142" s="196">
        <v>1073</v>
      </c>
      <c r="EA142" s="146">
        <v>1601</v>
      </c>
      <c r="EB142" s="114">
        <v>20</v>
      </c>
      <c r="EC142" s="152"/>
      <c r="ED142" s="138">
        <v>96</v>
      </c>
      <c r="EE142" s="138">
        <v>19844</v>
      </c>
      <c r="EF142" s="138">
        <v>20352</v>
      </c>
      <c r="EG142" s="138">
        <v>21309</v>
      </c>
      <c r="EH142" s="138"/>
      <c r="EI142" s="138"/>
      <c r="EJ142" s="138"/>
      <c r="EK142" s="3">
        <v>-478</v>
      </c>
      <c r="EL142" s="138"/>
      <c r="EM142" s="138">
        <v>366</v>
      </c>
      <c r="EN142" s="3">
        <v>-2581</v>
      </c>
      <c r="EO142" s="138">
        <v>142</v>
      </c>
      <c r="EP142" s="138">
        <v>792</v>
      </c>
      <c r="EQ142" s="3">
        <v>-3170</v>
      </c>
      <c r="ES142" s="138">
        <v>167</v>
      </c>
      <c r="ET142" s="163">
        <v>1500</v>
      </c>
      <c r="EU142" s="163">
        <v>-1300</v>
      </c>
      <c r="EV142" s="138">
        <v>3500</v>
      </c>
      <c r="EW142" s="138"/>
      <c r="EX142" s="138">
        <v>2000</v>
      </c>
      <c r="EY142" s="138">
        <v>1800</v>
      </c>
      <c r="EZ142" s="138">
        <v>18148</v>
      </c>
      <c r="FA142" s="138">
        <v>12230</v>
      </c>
      <c r="FB142" s="138">
        <v>5918</v>
      </c>
      <c r="FC142" s="138">
        <v>1620</v>
      </c>
      <c r="FD142" s="138">
        <v>16230</v>
      </c>
      <c r="FE142" s="138">
        <v>9980</v>
      </c>
      <c r="FF142" s="138">
        <v>6250</v>
      </c>
      <c r="FG142" s="138">
        <v>1620</v>
      </c>
      <c r="FH142" s="138">
        <v>15650</v>
      </c>
      <c r="FI142" s="138">
        <v>7632</v>
      </c>
      <c r="FJ142" s="138">
        <v>8018</v>
      </c>
      <c r="FK142" s="138">
        <v>1497</v>
      </c>
      <c r="FL142" s="147">
        <v>3728</v>
      </c>
      <c r="FM142" s="147">
        <v>3482.2456813819576</v>
      </c>
      <c r="FO142" s="181">
        <f t="shared" si="6"/>
        <v>1167.75</v>
      </c>
      <c r="FP142" s="179">
        <f t="shared" si="8"/>
        <v>140.00119889701475</v>
      </c>
      <c r="FR142" s="184"/>
      <c r="FV142" s="184">
        <v>3878</v>
      </c>
      <c r="FW142" s="2">
        <f t="shared" si="7"/>
        <v>-3878</v>
      </c>
    </row>
    <row r="143" spans="1:179" ht="12.75">
      <c r="A143" s="82">
        <v>434</v>
      </c>
      <c r="B143" s="80" t="s">
        <v>139</v>
      </c>
      <c r="C143" s="191">
        <v>15552</v>
      </c>
      <c r="D143" s="146"/>
      <c r="E143" s="150">
        <v>2.225886232481451</v>
      </c>
      <c r="F143" s="150">
        <v>27.7</v>
      </c>
      <c r="G143" s="151">
        <v>-1229</v>
      </c>
      <c r="H143" s="152"/>
      <c r="I143" s="152"/>
      <c r="J143" s="152"/>
      <c r="K143" s="150">
        <v>61.7</v>
      </c>
      <c r="L143" s="151">
        <v>462</v>
      </c>
      <c r="M143" s="151">
        <v>23</v>
      </c>
      <c r="N143" s="154">
        <v>6801.50462962963</v>
      </c>
      <c r="O143" s="146">
        <v>47278</v>
      </c>
      <c r="P143" s="139">
        <v>26066</v>
      </c>
      <c r="Q143" s="139">
        <v>103975</v>
      </c>
      <c r="R143" s="139">
        <v>-77909</v>
      </c>
      <c r="S143" s="146">
        <v>61156</v>
      </c>
      <c r="T143" s="139">
        <v>23913</v>
      </c>
      <c r="U143" s="160"/>
      <c r="W143" s="138">
        <v>-753</v>
      </c>
      <c r="X143" s="138">
        <v>1656</v>
      </c>
      <c r="Y143" s="139">
        <v>8063</v>
      </c>
      <c r="Z143" s="138">
        <v>5397</v>
      </c>
      <c r="AA143" s="139">
        <v>31</v>
      </c>
      <c r="AB143" s="139">
        <v>490</v>
      </c>
      <c r="AC143" s="139">
        <v>2207</v>
      </c>
      <c r="AD143" s="139">
        <v>409</v>
      </c>
      <c r="AG143" s="139">
        <v>2616</v>
      </c>
      <c r="AH143" s="139">
        <v>3966</v>
      </c>
      <c r="AI143" s="139">
        <v>7412</v>
      </c>
      <c r="AJ143" s="176"/>
      <c r="AK143" s="139">
        <v>1429</v>
      </c>
      <c r="AL143" s="151">
        <v>-3602</v>
      </c>
      <c r="AM143" s="151">
        <v>3829</v>
      </c>
      <c r="AN143" s="146">
        <v>61156</v>
      </c>
      <c r="AO143" s="139">
        <v>46355</v>
      </c>
      <c r="AP143" s="139">
        <v>8878</v>
      </c>
      <c r="AQ143" s="139">
        <v>5923</v>
      </c>
      <c r="AR143" s="114">
        <v>19.75</v>
      </c>
      <c r="AS143" s="152"/>
      <c r="AT143" s="138">
        <v>33</v>
      </c>
      <c r="AU143" s="191">
        <v>15519</v>
      </c>
      <c r="AV143" s="146"/>
      <c r="AW143" s="150">
        <v>1.6768426842684268</v>
      </c>
      <c r="AX143" s="150">
        <v>25.3</v>
      </c>
      <c r="AY143" s="151">
        <v>-1169</v>
      </c>
      <c r="AZ143" s="152"/>
      <c r="BA143" s="152"/>
      <c r="BB143" s="152"/>
      <c r="BC143" s="150">
        <v>63.6</v>
      </c>
      <c r="BD143" s="151">
        <v>372</v>
      </c>
      <c r="BE143" s="151">
        <v>18</v>
      </c>
      <c r="BF143" s="154">
        <v>7661.060635350216</v>
      </c>
      <c r="BG143" s="146">
        <v>49763</v>
      </c>
      <c r="BH143" s="139">
        <v>26911</v>
      </c>
      <c r="BI143" s="139">
        <v>110501</v>
      </c>
      <c r="BJ143" s="139">
        <v>-83590</v>
      </c>
      <c r="BK143" s="146">
        <v>62234</v>
      </c>
      <c r="BL143" s="146">
        <v>25765</v>
      </c>
      <c r="BM143" s="160"/>
      <c r="BO143" s="138">
        <v>-507</v>
      </c>
      <c r="BP143" s="138">
        <v>1642</v>
      </c>
      <c r="BQ143" s="139">
        <v>5544</v>
      </c>
      <c r="BR143" s="138">
        <v>4386</v>
      </c>
      <c r="BS143" s="139"/>
      <c r="BT143" s="139"/>
      <c r="BU143" s="139">
        <v>1158</v>
      </c>
      <c r="BV143" s="139">
        <v>198</v>
      </c>
      <c r="BY143" s="138">
        <v>1356</v>
      </c>
      <c r="BZ143" s="139">
        <v>5304</v>
      </c>
      <c r="CA143" s="139">
        <v>5093</v>
      </c>
      <c r="CB143" s="176"/>
      <c r="CC143" s="139">
        <v>-666</v>
      </c>
      <c r="CD143" s="151">
        <v>-3083</v>
      </c>
      <c r="CE143" s="151">
        <v>1017</v>
      </c>
      <c r="CF143" s="138">
        <v>62234</v>
      </c>
      <c r="CG143" s="139">
        <v>45532</v>
      </c>
      <c r="CH143" s="139">
        <v>10563</v>
      </c>
      <c r="CI143" s="139">
        <v>6139</v>
      </c>
      <c r="CJ143" s="114">
        <v>19.75</v>
      </c>
      <c r="CK143" s="152"/>
      <c r="CL143" s="138">
        <v>50</v>
      </c>
      <c r="CM143" s="190">
        <v>15493</v>
      </c>
      <c r="CN143" s="146"/>
      <c r="CO143" s="150">
        <v>2.2733940313606475</v>
      </c>
      <c r="CP143" s="150">
        <v>27.107232345270766</v>
      </c>
      <c r="CQ143" s="151">
        <v>-1300.0064545278512</v>
      </c>
      <c r="CR143" s="152"/>
      <c r="CS143" s="152"/>
      <c r="CT143" s="152"/>
      <c r="CU143" s="150">
        <v>63.4693788084696</v>
      </c>
      <c r="CV143" s="151">
        <v>493.6422900664816</v>
      </c>
      <c r="CW143" s="151">
        <v>22.259504975759125</v>
      </c>
      <c r="CX143" s="154">
        <v>8094.494287742851</v>
      </c>
      <c r="CY143" s="146">
        <v>50298</v>
      </c>
      <c r="CZ143" s="139">
        <v>25682</v>
      </c>
      <c r="DA143" s="139">
        <v>110555</v>
      </c>
      <c r="DB143" s="139">
        <v>-84873</v>
      </c>
      <c r="DC143" s="146">
        <v>65423</v>
      </c>
      <c r="DD143" s="146">
        <v>26229</v>
      </c>
      <c r="DE143" s="160"/>
      <c r="DG143" s="138">
        <v>-297</v>
      </c>
      <c r="DH143" s="138">
        <v>2197</v>
      </c>
      <c r="DI143" s="139">
        <v>8679</v>
      </c>
      <c r="DJ143" s="138">
        <v>4092</v>
      </c>
      <c r="DK143" s="139"/>
      <c r="DL143" s="139">
        <v>64</v>
      </c>
      <c r="DM143" s="139">
        <v>4523</v>
      </c>
      <c r="DN143" s="139">
        <v>198</v>
      </c>
      <c r="DO143" s="138">
        <v>-500</v>
      </c>
      <c r="DQ143" s="138">
        <v>4221</v>
      </c>
      <c r="DR143" s="139">
        <v>9524</v>
      </c>
      <c r="DS143" s="139">
        <v>8308</v>
      </c>
      <c r="DT143" s="176"/>
      <c r="DU143" s="139">
        <v>1122</v>
      </c>
      <c r="DV143" s="151">
        <v>-3644</v>
      </c>
      <c r="DW143" s="138">
        <v>-2007</v>
      </c>
      <c r="DX143" s="138">
        <v>65423</v>
      </c>
      <c r="DY143" s="146">
        <v>48662</v>
      </c>
      <c r="DZ143" s="196">
        <v>9719</v>
      </c>
      <c r="EA143" s="146">
        <v>7042</v>
      </c>
      <c r="EB143" s="114">
        <v>19.75</v>
      </c>
      <c r="EC143" s="152"/>
      <c r="ED143" s="138">
        <v>41</v>
      </c>
      <c r="EE143" s="138">
        <v>42602</v>
      </c>
      <c r="EF143" s="138">
        <v>45486</v>
      </c>
      <c r="EG143" s="138">
        <v>45507</v>
      </c>
      <c r="EH143" s="138"/>
      <c r="EI143" s="138"/>
      <c r="EJ143" s="138"/>
      <c r="EK143" s="3">
        <v>-3782</v>
      </c>
      <c r="EL143" s="138"/>
      <c r="EM143" s="138">
        <v>199</v>
      </c>
      <c r="EN143" s="3">
        <v>-4706</v>
      </c>
      <c r="EO143" s="138">
        <v>91</v>
      </c>
      <c r="EP143" s="138">
        <v>539</v>
      </c>
      <c r="EQ143" s="3">
        <v>-10832</v>
      </c>
      <c r="ER143" s="138">
        <v>151</v>
      </c>
      <c r="ES143" s="138">
        <v>366</v>
      </c>
      <c r="ET143" s="163"/>
      <c r="EU143" s="163">
        <v>-280</v>
      </c>
      <c r="EV143" s="138"/>
      <c r="EW143" s="138">
        <v>-473</v>
      </c>
      <c r="EX143" s="138">
        <v>5000</v>
      </c>
      <c r="EY143" s="138">
        <v>497</v>
      </c>
      <c r="EZ143" s="138">
        <v>19946</v>
      </c>
      <c r="FA143" s="138">
        <v>16348</v>
      </c>
      <c r="FB143" s="138">
        <v>3598</v>
      </c>
      <c r="FC143" s="138">
        <v>1737</v>
      </c>
      <c r="FD143" s="138">
        <v>16390</v>
      </c>
      <c r="FE143" s="138">
        <v>13266</v>
      </c>
      <c r="FF143" s="138">
        <v>3124</v>
      </c>
      <c r="FG143" s="138">
        <v>1727</v>
      </c>
      <c r="FH143" s="138">
        <v>18242</v>
      </c>
      <c r="FI143" s="138">
        <v>14621</v>
      </c>
      <c r="FJ143" s="138">
        <v>3621</v>
      </c>
      <c r="FK143" s="138">
        <v>1767</v>
      </c>
      <c r="FL143" s="147">
        <v>2434</v>
      </c>
      <c r="FM143" s="147">
        <v>2307.042979573426</v>
      </c>
      <c r="FO143" s="181">
        <f t="shared" si="6"/>
        <v>2463.8987341772154</v>
      </c>
      <c r="FP143" s="179">
        <f t="shared" si="8"/>
        <v>159.0330300249929</v>
      </c>
      <c r="FR143" s="184"/>
      <c r="FV143" s="184">
        <v>3602</v>
      </c>
      <c r="FW143" s="2">
        <f t="shared" si="7"/>
        <v>-3602</v>
      </c>
    </row>
    <row r="144" spans="1:179" ht="12.75">
      <c r="A144" s="82">
        <v>435</v>
      </c>
      <c r="B144" s="80" t="s">
        <v>140</v>
      </c>
      <c r="C144" s="191">
        <v>802</v>
      </c>
      <c r="D144" s="146"/>
      <c r="E144" s="150">
        <v>0.8879310344827587</v>
      </c>
      <c r="F144" s="150">
        <v>40.4</v>
      </c>
      <c r="G144" s="151">
        <v>-2132</v>
      </c>
      <c r="H144" s="152"/>
      <c r="I144" s="152"/>
      <c r="J144" s="152"/>
      <c r="K144" s="150">
        <v>53.8</v>
      </c>
      <c r="L144" s="151">
        <v>137</v>
      </c>
      <c r="M144" s="151">
        <v>6</v>
      </c>
      <c r="N144" s="154">
        <v>8509.97506234414</v>
      </c>
      <c r="O144" s="146">
        <v>2017</v>
      </c>
      <c r="P144" s="139">
        <v>673</v>
      </c>
      <c r="Q144" s="139">
        <v>5527</v>
      </c>
      <c r="R144" s="139">
        <v>-4854</v>
      </c>
      <c r="S144" s="146">
        <v>2001</v>
      </c>
      <c r="T144" s="139">
        <v>2979</v>
      </c>
      <c r="U144" s="160"/>
      <c r="W144" s="138">
        <v>-34</v>
      </c>
      <c r="X144" s="138">
        <v>20</v>
      </c>
      <c r="Y144" s="139">
        <v>112</v>
      </c>
      <c r="Z144" s="138">
        <v>257</v>
      </c>
      <c r="AA144" s="139">
        <v>292</v>
      </c>
      <c r="AB144" s="138">
        <v>55</v>
      </c>
      <c r="AC144" s="139">
        <v>92</v>
      </c>
      <c r="AG144" s="139">
        <v>92</v>
      </c>
      <c r="AH144" s="139">
        <v>648</v>
      </c>
      <c r="AI144" s="139">
        <v>149</v>
      </c>
      <c r="AJ144" s="176"/>
      <c r="AK144" s="139">
        <v>-221</v>
      </c>
      <c r="AL144" s="151">
        <v>-138</v>
      </c>
      <c r="AM144" s="151">
        <v>-404</v>
      </c>
      <c r="AN144" s="146">
        <v>2001</v>
      </c>
      <c r="AO144" s="139">
        <v>1447</v>
      </c>
      <c r="AP144" s="139">
        <v>273</v>
      </c>
      <c r="AQ144" s="139">
        <v>281</v>
      </c>
      <c r="AR144" s="114">
        <v>19</v>
      </c>
      <c r="AS144" s="152"/>
      <c r="AT144" s="138">
        <v>241</v>
      </c>
      <c r="AU144" s="191">
        <v>773</v>
      </c>
      <c r="AV144" s="146"/>
      <c r="AW144" s="150">
        <v>0.1782178217821782</v>
      </c>
      <c r="AX144" s="150">
        <v>44.5</v>
      </c>
      <c r="AY144" s="151">
        <v>-2798</v>
      </c>
      <c r="AZ144" s="152"/>
      <c r="BA144" s="152"/>
      <c r="BB144" s="152"/>
      <c r="BC144" s="150">
        <v>49.6</v>
      </c>
      <c r="BD144" s="151">
        <v>348</v>
      </c>
      <c r="BE144" s="151">
        <v>14</v>
      </c>
      <c r="BF144" s="154">
        <v>9278.137128072445</v>
      </c>
      <c r="BG144" s="146">
        <v>2084</v>
      </c>
      <c r="BH144" s="139">
        <v>789</v>
      </c>
      <c r="BI144" s="139">
        <v>5988</v>
      </c>
      <c r="BJ144" s="139">
        <v>-5199</v>
      </c>
      <c r="BK144" s="146">
        <v>1968</v>
      </c>
      <c r="BL144" s="146">
        <v>3281</v>
      </c>
      <c r="BM144" s="160"/>
      <c r="BO144" s="138">
        <v>-37</v>
      </c>
      <c r="BP144" s="138">
        <v>-2</v>
      </c>
      <c r="BQ144" s="139">
        <v>11</v>
      </c>
      <c r="BR144" s="138">
        <v>265</v>
      </c>
      <c r="BS144" s="139">
        <v>235</v>
      </c>
      <c r="BT144" s="138">
        <v>16</v>
      </c>
      <c r="BU144" s="139">
        <v>-35</v>
      </c>
      <c r="BY144" s="138">
        <v>-35</v>
      </c>
      <c r="BZ144" s="139">
        <v>612</v>
      </c>
      <c r="CA144" s="139">
        <v>-2</v>
      </c>
      <c r="CB144" s="176"/>
      <c r="CC144" s="139">
        <v>208</v>
      </c>
      <c r="CD144" s="151">
        <v>-260</v>
      </c>
      <c r="CE144" s="151">
        <v>-435</v>
      </c>
      <c r="CF144" s="138">
        <v>1968</v>
      </c>
      <c r="CG144" s="139">
        <v>1516</v>
      </c>
      <c r="CH144" s="139">
        <v>163</v>
      </c>
      <c r="CI144" s="139">
        <v>289</v>
      </c>
      <c r="CJ144" s="114">
        <v>19</v>
      </c>
      <c r="CK144" s="152"/>
      <c r="CL144" s="138">
        <v>230</v>
      </c>
      <c r="CM144" s="190">
        <v>763</v>
      </c>
      <c r="CN144" s="146"/>
      <c r="CO144" s="150">
        <v>1.2635983263598327</v>
      </c>
      <c r="CP144" s="150">
        <v>40.349751323600195</v>
      </c>
      <c r="CQ144" s="151">
        <v>-2689.3840104849282</v>
      </c>
      <c r="CR144" s="152"/>
      <c r="CS144" s="152"/>
      <c r="CT144" s="152"/>
      <c r="CU144" s="150">
        <v>52.3666978484565</v>
      </c>
      <c r="CV144" s="151">
        <v>231.97903014416775</v>
      </c>
      <c r="CW144" s="151">
        <v>9.910262310170271</v>
      </c>
      <c r="CX144" s="154">
        <v>8543.905635648756</v>
      </c>
      <c r="CY144" s="146">
        <v>2114</v>
      </c>
      <c r="CZ144" s="139">
        <v>798</v>
      </c>
      <c r="DA144" s="139">
        <v>5952</v>
      </c>
      <c r="DB144" s="139">
        <v>-5154</v>
      </c>
      <c r="DC144" s="146">
        <v>2228</v>
      </c>
      <c r="DD144" s="146">
        <v>3207</v>
      </c>
      <c r="DE144" s="160"/>
      <c r="DG144" s="138">
        <v>-9</v>
      </c>
      <c r="DH144" s="138">
        <v>13</v>
      </c>
      <c r="DI144" s="139">
        <v>285</v>
      </c>
      <c r="DJ144" s="138">
        <v>244</v>
      </c>
      <c r="DK144" s="139">
        <v>69</v>
      </c>
      <c r="DL144" s="138">
        <v>13</v>
      </c>
      <c r="DM144" s="139">
        <v>97</v>
      </c>
      <c r="DQ144" s="138">
        <v>97</v>
      </c>
      <c r="DR144" s="139">
        <v>709</v>
      </c>
      <c r="DS144" s="139">
        <v>341</v>
      </c>
      <c r="DT144" s="176"/>
      <c r="DU144" s="139">
        <v>-31</v>
      </c>
      <c r="DV144" s="151">
        <v>-222</v>
      </c>
      <c r="DW144" s="138">
        <v>35</v>
      </c>
      <c r="DX144" s="138">
        <v>2228</v>
      </c>
      <c r="DY144" s="146">
        <v>1675</v>
      </c>
      <c r="DZ144" s="196">
        <v>209</v>
      </c>
      <c r="EA144" s="146">
        <v>344</v>
      </c>
      <c r="EB144" s="114">
        <v>19</v>
      </c>
      <c r="EC144" s="152"/>
      <c r="ED144" s="138">
        <v>100</v>
      </c>
      <c r="EE144" s="138">
        <v>2917</v>
      </c>
      <c r="EF144" s="138">
        <v>3248</v>
      </c>
      <c r="EG144" s="138">
        <v>3179</v>
      </c>
      <c r="EH144" s="138"/>
      <c r="EI144" s="138"/>
      <c r="EJ144" s="138"/>
      <c r="EK144" s="3">
        <v>-803</v>
      </c>
      <c r="EL144" s="138">
        <v>50</v>
      </c>
      <c r="EM144" s="138">
        <v>200</v>
      </c>
      <c r="EN144" s="3">
        <v>-848</v>
      </c>
      <c r="EO144" s="138">
        <v>132</v>
      </c>
      <c r="EP144" s="138">
        <v>283</v>
      </c>
      <c r="EQ144" s="3">
        <v>-306</v>
      </c>
      <c r="ET144" s="163">
        <v>20</v>
      </c>
      <c r="EU144" s="163"/>
      <c r="EV144" s="138">
        <v>732</v>
      </c>
      <c r="EW144" s="138"/>
      <c r="EX144" s="138">
        <v>111</v>
      </c>
      <c r="EY144" s="138"/>
      <c r="EZ144" s="138">
        <v>1196</v>
      </c>
      <c r="FA144" s="138">
        <v>1078</v>
      </c>
      <c r="FB144" s="138">
        <v>118</v>
      </c>
      <c r="FC144" s="138">
        <v>132</v>
      </c>
      <c r="FD144" s="138">
        <v>1668</v>
      </c>
      <c r="FE144" s="138">
        <v>1557</v>
      </c>
      <c r="FF144" s="138">
        <v>111</v>
      </c>
      <c r="FG144" s="138">
        <v>141</v>
      </c>
      <c r="FH144" s="138">
        <v>1557</v>
      </c>
      <c r="FI144" s="138">
        <v>1447</v>
      </c>
      <c r="FJ144" s="138">
        <v>110</v>
      </c>
      <c r="FK144" s="138">
        <v>127</v>
      </c>
      <c r="FL144" s="147">
        <v>2682</v>
      </c>
      <c r="FM144" s="147">
        <v>3296.248382923674</v>
      </c>
      <c r="FO144" s="181">
        <f t="shared" si="6"/>
        <v>88.15789473684211</v>
      </c>
      <c r="FP144" s="179">
        <f t="shared" si="8"/>
        <v>115.54114644409188</v>
      </c>
      <c r="FR144" s="184"/>
      <c r="FV144" s="184">
        <v>138</v>
      </c>
      <c r="FW144" s="2">
        <f t="shared" si="7"/>
        <v>-138</v>
      </c>
    </row>
    <row r="145" spans="1:179" ht="12.75">
      <c r="A145" s="82">
        <v>436</v>
      </c>
      <c r="B145" s="80" t="s">
        <v>141</v>
      </c>
      <c r="C145" s="191">
        <v>2037</v>
      </c>
      <c r="D145" s="146"/>
      <c r="E145" s="150">
        <v>0.6283367556468172</v>
      </c>
      <c r="F145" s="150">
        <v>45.6</v>
      </c>
      <c r="G145" s="151">
        <v>-2222</v>
      </c>
      <c r="H145" s="152"/>
      <c r="I145" s="152"/>
      <c r="J145" s="152"/>
      <c r="K145" s="150">
        <v>49.6</v>
      </c>
      <c r="L145" s="151">
        <v>42</v>
      </c>
      <c r="M145" s="151">
        <v>3</v>
      </c>
      <c r="N145" s="154">
        <v>7401.080019636721</v>
      </c>
      <c r="O145" s="146">
        <v>5374</v>
      </c>
      <c r="P145" s="139">
        <v>1382</v>
      </c>
      <c r="Q145" s="139">
        <v>11044</v>
      </c>
      <c r="R145" s="139">
        <v>-9662</v>
      </c>
      <c r="S145" s="146">
        <v>4661</v>
      </c>
      <c r="T145" s="139">
        <v>5217</v>
      </c>
      <c r="U145" s="160"/>
      <c r="W145" s="138">
        <v>-81</v>
      </c>
      <c r="X145" s="138">
        <v>2</v>
      </c>
      <c r="Y145" s="139">
        <v>137</v>
      </c>
      <c r="Z145" s="138">
        <v>445</v>
      </c>
      <c r="AC145" s="139">
        <v>-308</v>
      </c>
      <c r="AD145" s="139"/>
      <c r="AG145" s="139">
        <v>-308</v>
      </c>
      <c r="AH145" s="139">
        <v>1090</v>
      </c>
      <c r="AI145" s="139">
        <v>124</v>
      </c>
      <c r="AJ145" s="176"/>
      <c r="AK145" s="138">
        <v>-8</v>
      </c>
      <c r="AL145" s="151">
        <v>-318</v>
      </c>
      <c r="AM145" s="151">
        <v>-637</v>
      </c>
      <c r="AN145" s="146">
        <v>4661</v>
      </c>
      <c r="AO145" s="139">
        <v>4384</v>
      </c>
      <c r="AP145" s="139">
        <v>124</v>
      </c>
      <c r="AQ145" s="139">
        <v>153</v>
      </c>
      <c r="AR145" s="114">
        <v>20.5</v>
      </c>
      <c r="AS145" s="152"/>
      <c r="AT145" s="138">
        <v>257</v>
      </c>
      <c r="AU145" s="191">
        <v>2059</v>
      </c>
      <c r="AV145" s="146"/>
      <c r="AW145" s="150">
        <v>2.1795511221945136</v>
      </c>
      <c r="AX145" s="150">
        <v>40</v>
      </c>
      <c r="AY145" s="151">
        <v>-1988</v>
      </c>
      <c r="AZ145" s="152"/>
      <c r="BA145" s="152"/>
      <c r="BB145" s="152"/>
      <c r="BC145" s="150">
        <v>52.9</v>
      </c>
      <c r="BD145" s="151">
        <v>57</v>
      </c>
      <c r="BE145" s="151">
        <v>4</v>
      </c>
      <c r="BF145" s="154">
        <v>5814.958717824186</v>
      </c>
      <c r="BG145" s="146">
        <v>5528</v>
      </c>
      <c r="BH145" s="139">
        <v>1581</v>
      </c>
      <c r="BI145" s="139">
        <v>11103</v>
      </c>
      <c r="BJ145" s="139">
        <v>-9522</v>
      </c>
      <c r="BK145" s="146">
        <v>4905</v>
      </c>
      <c r="BL145" s="146">
        <v>5479</v>
      </c>
      <c r="BM145" s="160"/>
      <c r="BO145" s="138">
        <v>-72</v>
      </c>
      <c r="BP145" s="138">
        <v>2</v>
      </c>
      <c r="BQ145" s="139">
        <v>792</v>
      </c>
      <c r="BR145" s="138">
        <v>473</v>
      </c>
      <c r="BU145" s="139">
        <v>319</v>
      </c>
      <c r="BV145" s="139"/>
      <c r="BW145" s="138">
        <v>-300</v>
      </c>
      <c r="BY145" s="138">
        <v>19</v>
      </c>
      <c r="BZ145" s="139">
        <v>1110</v>
      </c>
      <c r="CA145" s="139">
        <v>737</v>
      </c>
      <c r="CB145" s="176"/>
      <c r="CC145" s="138">
        <v>-62</v>
      </c>
      <c r="CD145" s="151">
        <v>-319</v>
      </c>
      <c r="CE145" s="151">
        <v>412</v>
      </c>
      <c r="CF145" s="138">
        <v>4905</v>
      </c>
      <c r="CG145" s="139">
        <v>4648</v>
      </c>
      <c r="CH145" s="139">
        <v>94</v>
      </c>
      <c r="CI145" s="139">
        <v>163</v>
      </c>
      <c r="CJ145" s="114">
        <v>20.5</v>
      </c>
      <c r="CK145" s="152"/>
      <c r="CL145" s="138">
        <v>43</v>
      </c>
      <c r="CM145" s="190">
        <v>2084</v>
      </c>
      <c r="CN145" s="146"/>
      <c r="CO145" s="150">
        <v>0.7547169811320755</v>
      </c>
      <c r="CP145" s="150">
        <v>47.53316914276635</v>
      </c>
      <c r="CQ145" s="151">
        <v>-2466.4107485604604</v>
      </c>
      <c r="CR145" s="152"/>
      <c r="CS145" s="152"/>
      <c r="CT145" s="152"/>
      <c r="CU145" s="150">
        <v>45.794308357348704</v>
      </c>
      <c r="CV145" s="151">
        <v>124.76007677543186</v>
      </c>
      <c r="CW145" s="151">
        <v>6.570657065706571</v>
      </c>
      <c r="CX145" s="154">
        <v>6930.42226487524</v>
      </c>
      <c r="CY145" s="146">
        <v>5756</v>
      </c>
      <c r="CZ145" s="139">
        <v>1579</v>
      </c>
      <c r="DA145" s="139">
        <v>12414</v>
      </c>
      <c r="DB145" s="139">
        <v>-10835</v>
      </c>
      <c r="DC145" s="146">
        <v>5127</v>
      </c>
      <c r="DD145" s="146">
        <v>5898</v>
      </c>
      <c r="DE145" s="160"/>
      <c r="DG145" s="138">
        <v>-50</v>
      </c>
      <c r="DH145" s="138">
        <v>88</v>
      </c>
      <c r="DI145" s="139">
        <v>228</v>
      </c>
      <c r="DJ145" s="138">
        <v>577</v>
      </c>
      <c r="DM145" s="139">
        <v>-349</v>
      </c>
      <c r="DN145" s="139"/>
      <c r="DQ145" s="138">
        <v>-349</v>
      </c>
      <c r="DR145" s="139">
        <v>761</v>
      </c>
      <c r="DS145" s="139">
        <v>171</v>
      </c>
      <c r="DT145" s="176"/>
      <c r="DU145" s="138">
        <v>8</v>
      </c>
      <c r="DV145" s="151">
        <v>-319</v>
      </c>
      <c r="DW145" s="138">
        <v>-1043</v>
      </c>
      <c r="DX145" s="138">
        <v>5127</v>
      </c>
      <c r="DY145" s="146">
        <v>4847</v>
      </c>
      <c r="DZ145" s="196">
        <v>108</v>
      </c>
      <c r="EA145" s="146">
        <v>172</v>
      </c>
      <c r="EB145" s="114">
        <v>20.5</v>
      </c>
      <c r="EC145" s="152"/>
      <c r="ED145" s="138">
        <v>242</v>
      </c>
      <c r="EE145" s="138">
        <v>4292</v>
      </c>
      <c r="EF145" s="138">
        <v>4076</v>
      </c>
      <c r="EG145" s="138">
        <v>5049</v>
      </c>
      <c r="EH145" s="138"/>
      <c r="EI145" s="138"/>
      <c r="EJ145" s="138"/>
      <c r="EK145" s="3">
        <v>-804</v>
      </c>
      <c r="EL145" s="138">
        <v>26</v>
      </c>
      <c r="EM145" s="138">
        <v>17</v>
      </c>
      <c r="EN145" s="3">
        <v>-469</v>
      </c>
      <c r="EO145" s="138">
        <v>70</v>
      </c>
      <c r="EP145" s="138">
        <v>74</v>
      </c>
      <c r="EQ145" s="3">
        <v>-1640</v>
      </c>
      <c r="ES145" s="138">
        <v>426</v>
      </c>
      <c r="ET145" s="163"/>
      <c r="EU145" s="163">
        <v>400</v>
      </c>
      <c r="EV145" s="138"/>
      <c r="EW145" s="138">
        <v>-100</v>
      </c>
      <c r="EX145" s="138"/>
      <c r="EY145" s="138">
        <v>1550</v>
      </c>
      <c r="EZ145" s="138">
        <v>3595</v>
      </c>
      <c r="FA145" s="138">
        <v>2876</v>
      </c>
      <c r="FB145" s="138">
        <v>719</v>
      </c>
      <c r="FC145" s="138">
        <v>0</v>
      </c>
      <c r="FD145" s="138">
        <v>3176</v>
      </c>
      <c r="FE145" s="138">
        <v>2557</v>
      </c>
      <c r="FF145" s="138">
        <v>619</v>
      </c>
      <c r="FG145" s="138">
        <v>0</v>
      </c>
      <c r="FH145" s="138">
        <v>4407</v>
      </c>
      <c r="FI145" s="138">
        <v>2238</v>
      </c>
      <c r="FJ145" s="138">
        <v>2169</v>
      </c>
      <c r="FK145" s="138">
        <v>0</v>
      </c>
      <c r="FL145" s="147">
        <v>3189</v>
      </c>
      <c r="FM145" s="147">
        <v>2987.858183584264</v>
      </c>
      <c r="FO145" s="181">
        <f t="shared" si="6"/>
        <v>236.4390243902439</v>
      </c>
      <c r="FP145" s="179">
        <f t="shared" si="8"/>
        <v>113.45442629090398</v>
      </c>
      <c r="FR145" s="184"/>
      <c r="FV145" s="184">
        <v>318</v>
      </c>
      <c r="FW145" s="2">
        <f t="shared" si="7"/>
        <v>-318</v>
      </c>
    </row>
    <row r="146" spans="1:179" ht="12.75">
      <c r="A146" s="82">
        <v>440</v>
      </c>
      <c r="B146" s="80" t="s">
        <v>142</v>
      </c>
      <c r="C146" s="191">
        <v>4921</v>
      </c>
      <c r="D146" s="146"/>
      <c r="E146" s="150">
        <v>0.3223635003739716</v>
      </c>
      <c r="F146" s="150">
        <v>58</v>
      </c>
      <c r="G146" s="151">
        <v>-1372</v>
      </c>
      <c r="H146" s="152"/>
      <c r="I146" s="152"/>
      <c r="J146" s="152"/>
      <c r="K146" s="150">
        <v>53.7</v>
      </c>
      <c r="L146" s="151">
        <v>1176</v>
      </c>
      <c r="M146" s="151">
        <v>72</v>
      </c>
      <c r="N146" s="154">
        <v>5473.684210526316</v>
      </c>
      <c r="O146" s="146">
        <v>8785</v>
      </c>
      <c r="P146" s="139">
        <v>2845</v>
      </c>
      <c r="Q146" s="139">
        <v>25012</v>
      </c>
      <c r="R146" s="139">
        <v>-22167</v>
      </c>
      <c r="S146" s="146">
        <v>11626</v>
      </c>
      <c r="T146" s="139">
        <v>10876</v>
      </c>
      <c r="U146" s="160"/>
      <c r="W146" s="138">
        <v>-67</v>
      </c>
      <c r="X146" s="138">
        <v>163</v>
      </c>
      <c r="Y146" s="139">
        <v>431</v>
      </c>
      <c r="Z146" s="138">
        <v>915</v>
      </c>
      <c r="AA146" s="139"/>
      <c r="AC146" s="139">
        <v>-484</v>
      </c>
      <c r="AD146" s="139"/>
      <c r="AE146" s="139"/>
      <c r="AF146" s="138">
        <v>2</v>
      </c>
      <c r="AG146" s="139">
        <v>-482</v>
      </c>
      <c r="AH146" s="139">
        <v>8876</v>
      </c>
      <c r="AI146" s="139">
        <v>205</v>
      </c>
      <c r="AJ146" s="176"/>
      <c r="AK146" s="139">
        <v>-600</v>
      </c>
      <c r="AL146" s="151">
        <v>-1337</v>
      </c>
      <c r="AM146" s="151">
        <v>-1698</v>
      </c>
      <c r="AN146" s="146">
        <v>11626</v>
      </c>
      <c r="AO146" s="139">
        <v>10475</v>
      </c>
      <c r="AP146" s="139">
        <v>433</v>
      </c>
      <c r="AQ146" s="139">
        <v>718</v>
      </c>
      <c r="AR146" s="114">
        <v>18.5</v>
      </c>
      <c r="AS146" s="152"/>
      <c r="AT146" s="138">
        <v>251</v>
      </c>
      <c r="AU146" s="191">
        <v>4966</v>
      </c>
      <c r="AV146" s="146"/>
      <c r="AW146" s="150">
        <v>1.4095303867403315</v>
      </c>
      <c r="AX146" s="150">
        <v>58.7</v>
      </c>
      <c r="AY146" s="151">
        <v>-1305</v>
      </c>
      <c r="AZ146" s="152"/>
      <c r="BA146" s="152"/>
      <c r="BB146" s="152"/>
      <c r="BC146" s="150">
        <v>52.8</v>
      </c>
      <c r="BD146" s="151">
        <v>1475</v>
      </c>
      <c r="BE146" s="151">
        <v>91</v>
      </c>
      <c r="BF146" s="154">
        <v>5916.834474426098</v>
      </c>
      <c r="BG146" s="146">
        <v>9020</v>
      </c>
      <c r="BH146" s="139">
        <v>2950</v>
      </c>
      <c r="BI146" s="139">
        <v>25780</v>
      </c>
      <c r="BJ146" s="139">
        <v>-22830</v>
      </c>
      <c r="BK146" s="146">
        <v>12949</v>
      </c>
      <c r="BL146" s="146">
        <v>11422</v>
      </c>
      <c r="BM146" s="160"/>
      <c r="BO146" s="138">
        <v>-65</v>
      </c>
      <c r="BP146" s="138">
        <v>423</v>
      </c>
      <c r="BQ146" s="139">
        <v>1899</v>
      </c>
      <c r="BR146" s="138">
        <v>1016</v>
      </c>
      <c r="BS146" s="139"/>
      <c r="BU146" s="139">
        <v>883</v>
      </c>
      <c r="BV146" s="139"/>
      <c r="BW146" s="139"/>
      <c r="BX146" s="138">
        <v>41</v>
      </c>
      <c r="BY146" s="138">
        <v>924</v>
      </c>
      <c r="BZ146" s="139">
        <v>9800</v>
      </c>
      <c r="CA146" s="139">
        <v>1603</v>
      </c>
      <c r="CB146" s="176"/>
      <c r="CC146" s="139">
        <v>-53</v>
      </c>
      <c r="CD146" s="151">
        <v>-1306</v>
      </c>
      <c r="CE146" s="151">
        <v>556</v>
      </c>
      <c r="CF146" s="138">
        <v>12949</v>
      </c>
      <c r="CG146" s="139">
        <v>11917</v>
      </c>
      <c r="CH146" s="139">
        <v>232</v>
      </c>
      <c r="CI146" s="139">
        <v>800</v>
      </c>
      <c r="CJ146" s="114">
        <v>19.5</v>
      </c>
      <c r="CK146" s="152"/>
      <c r="CL146" s="138">
        <v>44</v>
      </c>
      <c r="CM146" s="190">
        <v>5065</v>
      </c>
      <c r="CN146" s="146"/>
      <c r="CO146" s="150">
        <v>0.7504786215698788</v>
      </c>
      <c r="CP146" s="150">
        <v>57.787544216957876</v>
      </c>
      <c r="CQ146" s="151">
        <v>-1455.2813425468905</v>
      </c>
      <c r="CR146" s="152"/>
      <c r="CS146" s="152"/>
      <c r="CT146" s="152"/>
      <c r="CU146" s="150">
        <v>52.70002909514111</v>
      </c>
      <c r="CV146" s="151">
        <v>1390.918065153011</v>
      </c>
      <c r="CW146" s="151">
        <v>83.15305264519466</v>
      </c>
      <c r="CX146" s="154">
        <v>6105.4294175715695</v>
      </c>
      <c r="CY146" s="146">
        <v>9236</v>
      </c>
      <c r="CZ146" s="139">
        <v>2780</v>
      </c>
      <c r="DA146" s="139">
        <v>27128</v>
      </c>
      <c r="DB146" s="139">
        <v>-24348</v>
      </c>
      <c r="DC146" s="146">
        <v>13559</v>
      </c>
      <c r="DD146" s="146">
        <v>11661</v>
      </c>
      <c r="DE146" s="160"/>
      <c r="DG146" s="138">
        <v>-33</v>
      </c>
      <c r="DH146" s="138">
        <v>270</v>
      </c>
      <c r="DI146" s="139">
        <v>1109</v>
      </c>
      <c r="DJ146" s="138">
        <v>1012</v>
      </c>
      <c r="DK146" s="139"/>
      <c r="DM146" s="139">
        <v>97</v>
      </c>
      <c r="DN146" s="139"/>
      <c r="DO146" s="139"/>
      <c r="DP146" s="138">
        <v>-48</v>
      </c>
      <c r="DQ146" s="138">
        <v>49</v>
      </c>
      <c r="DR146" s="139">
        <v>9848</v>
      </c>
      <c r="DS146" s="139">
        <v>1052</v>
      </c>
      <c r="DT146" s="176"/>
      <c r="DU146" s="139">
        <v>466</v>
      </c>
      <c r="DV146" s="151">
        <v>-1500</v>
      </c>
      <c r="DW146" s="138">
        <v>-880</v>
      </c>
      <c r="DX146" s="138">
        <v>13559</v>
      </c>
      <c r="DY146" s="146">
        <v>12462</v>
      </c>
      <c r="DZ146" s="196">
        <v>261</v>
      </c>
      <c r="EA146" s="146">
        <v>836</v>
      </c>
      <c r="EB146" s="114">
        <v>19.5</v>
      </c>
      <c r="EC146" s="152"/>
      <c r="ED146" s="138">
        <v>186</v>
      </c>
      <c r="EE146" s="138">
        <v>13575</v>
      </c>
      <c r="EF146" s="138">
        <v>13908</v>
      </c>
      <c r="EG146" s="138">
        <v>15016</v>
      </c>
      <c r="EH146" s="138"/>
      <c r="EI146" s="138"/>
      <c r="EJ146" s="138"/>
      <c r="EK146" s="3">
        <v>-2401</v>
      </c>
      <c r="EL146" s="138">
        <v>112</v>
      </c>
      <c r="EM146" s="138">
        <v>386</v>
      </c>
      <c r="EN146" s="3">
        <v>-1784</v>
      </c>
      <c r="EO146" s="138"/>
      <c r="EP146" s="138">
        <v>737</v>
      </c>
      <c r="EQ146" s="3">
        <v>-2159</v>
      </c>
      <c r="ER146" s="138">
        <v>103</v>
      </c>
      <c r="ES146" s="138">
        <v>124</v>
      </c>
      <c r="ET146" s="163">
        <v>1000</v>
      </c>
      <c r="EU146" s="163">
        <v>1600</v>
      </c>
      <c r="EV146" s="138"/>
      <c r="EW146" s="138">
        <v>2800</v>
      </c>
      <c r="EX146" s="138">
        <v>2000</v>
      </c>
      <c r="EY146" s="138">
        <v>-400</v>
      </c>
      <c r="EZ146" s="138">
        <v>9414</v>
      </c>
      <c r="FA146" s="138">
        <v>6508</v>
      </c>
      <c r="FB146" s="138">
        <v>2906</v>
      </c>
      <c r="FC146" s="138">
        <v>270</v>
      </c>
      <c r="FD146" s="138">
        <v>10908</v>
      </c>
      <c r="FE146" s="138">
        <v>5233</v>
      </c>
      <c r="FF146" s="138">
        <v>5675</v>
      </c>
      <c r="FG146" s="138">
        <v>570</v>
      </c>
      <c r="FH146" s="138">
        <v>11008</v>
      </c>
      <c r="FI146" s="138">
        <v>5945</v>
      </c>
      <c r="FJ146" s="138">
        <v>5063</v>
      </c>
      <c r="FK146" s="138">
        <v>570</v>
      </c>
      <c r="FL146" s="147">
        <v>3651</v>
      </c>
      <c r="FM146" s="147">
        <v>4286.548530004027</v>
      </c>
      <c r="FO146" s="181">
        <f t="shared" si="6"/>
        <v>639.0769230769231</v>
      </c>
      <c r="FP146" s="179">
        <f t="shared" si="8"/>
        <v>126.17510820867189</v>
      </c>
      <c r="FR146" s="184"/>
      <c r="FV146" s="184">
        <v>1337</v>
      </c>
      <c r="FW146" s="2">
        <f t="shared" si="7"/>
        <v>-1337</v>
      </c>
    </row>
    <row r="147" spans="1:179" ht="12.75">
      <c r="A147" s="82">
        <v>441</v>
      </c>
      <c r="B147" s="80" t="s">
        <v>143</v>
      </c>
      <c r="C147" s="191">
        <v>5119</v>
      </c>
      <c r="D147" s="146"/>
      <c r="F147" s="150">
        <v>10.3</v>
      </c>
      <c r="G147" s="151">
        <v>3571</v>
      </c>
      <c r="H147" s="152"/>
      <c r="I147" s="152"/>
      <c r="J147" s="152"/>
      <c r="K147" s="150">
        <v>92.4</v>
      </c>
      <c r="L147" s="151">
        <v>3255</v>
      </c>
      <c r="M147" s="151">
        <v>209</v>
      </c>
      <c r="N147" s="154">
        <v>5678.2574721625315</v>
      </c>
      <c r="O147" s="146">
        <v>7126</v>
      </c>
      <c r="P147" s="139">
        <v>4171</v>
      </c>
      <c r="Q147" s="139">
        <v>27488</v>
      </c>
      <c r="R147" s="139">
        <v>-23317</v>
      </c>
      <c r="S147" s="146">
        <v>13743</v>
      </c>
      <c r="T147" s="139">
        <v>10590</v>
      </c>
      <c r="U147" s="160"/>
      <c r="W147" s="138">
        <v>417</v>
      </c>
      <c r="X147" s="138">
        <v>314</v>
      </c>
      <c r="Y147" s="139">
        <v>1747</v>
      </c>
      <c r="Z147" s="138">
        <v>1385</v>
      </c>
      <c r="AC147" s="139">
        <v>362</v>
      </c>
      <c r="AD147" s="138">
        <v>366</v>
      </c>
      <c r="AE147" s="138">
        <v>-60</v>
      </c>
      <c r="AG147" s="139">
        <v>668</v>
      </c>
      <c r="AH147" s="139">
        <v>13806</v>
      </c>
      <c r="AI147" s="139">
        <v>1726</v>
      </c>
      <c r="AJ147" s="176"/>
      <c r="AK147" s="139">
        <v>-209</v>
      </c>
      <c r="AL147" s="151">
        <v>0</v>
      </c>
      <c r="AM147" s="151">
        <v>137</v>
      </c>
      <c r="AN147" s="146">
        <v>13743</v>
      </c>
      <c r="AO147" s="139">
        <v>11131</v>
      </c>
      <c r="AP147" s="139">
        <v>1708</v>
      </c>
      <c r="AQ147" s="139">
        <v>904</v>
      </c>
      <c r="AR147" s="114">
        <v>18</v>
      </c>
      <c r="AS147" s="152"/>
      <c r="AT147" s="138">
        <v>102</v>
      </c>
      <c r="AU147" s="191">
        <v>5022</v>
      </c>
      <c r="AV147" s="146"/>
      <c r="AX147" s="150">
        <v>10.3</v>
      </c>
      <c r="AY147" s="151">
        <v>3340</v>
      </c>
      <c r="AZ147" s="152"/>
      <c r="BA147" s="152"/>
      <c r="BB147" s="152"/>
      <c r="BC147" s="150">
        <v>92.2</v>
      </c>
      <c r="BD147" s="151">
        <v>3375</v>
      </c>
      <c r="BE147" s="151">
        <v>193</v>
      </c>
      <c r="BF147" s="154">
        <v>6389.287136598965</v>
      </c>
      <c r="BG147" s="146">
        <v>7488</v>
      </c>
      <c r="BH147" s="139">
        <v>5094</v>
      </c>
      <c r="BI147" s="139">
        <v>28767</v>
      </c>
      <c r="BJ147" s="139">
        <v>-23673</v>
      </c>
      <c r="BK147" s="146">
        <v>14006</v>
      </c>
      <c r="BL147" s="146">
        <v>11279</v>
      </c>
      <c r="BM147" s="160"/>
      <c r="BO147" s="138">
        <v>403</v>
      </c>
      <c r="BP147" s="138">
        <v>287</v>
      </c>
      <c r="BQ147" s="139">
        <v>2302</v>
      </c>
      <c r="BR147" s="138">
        <v>1464</v>
      </c>
      <c r="BU147" s="139">
        <v>838</v>
      </c>
      <c r="BV147" s="138">
        <v>531</v>
      </c>
      <c r="BW147" s="138">
        <v>-300</v>
      </c>
      <c r="BY147" s="138">
        <v>1069</v>
      </c>
      <c r="BZ147" s="139">
        <v>14938</v>
      </c>
      <c r="CA147" s="139">
        <v>1671</v>
      </c>
      <c r="CB147" s="176"/>
      <c r="CC147" s="139">
        <v>1576</v>
      </c>
      <c r="CD147" s="151">
        <v>0</v>
      </c>
      <c r="CE147" s="151">
        <v>-1649</v>
      </c>
      <c r="CF147" s="138">
        <v>14006</v>
      </c>
      <c r="CG147" s="139">
        <v>11963</v>
      </c>
      <c r="CH147" s="139">
        <v>1139</v>
      </c>
      <c r="CI147" s="139">
        <v>904</v>
      </c>
      <c r="CJ147" s="114">
        <v>18</v>
      </c>
      <c r="CK147" s="152"/>
      <c r="CL147" s="138">
        <v>28</v>
      </c>
      <c r="CM147" s="190">
        <v>4992</v>
      </c>
      <c r="CN147" s="146"/>
      <c r="CP147" s="150">
        <v>8.898776418242491</v>
      </c>
      <c r="CQ147" s="151">
        <v>3373.9983974358975</v>
      </c>
      <c r="CR147" s="152"/>
      <c r="CS147" s="152"/>
      <c r="CT147" s="152"/>
      <c r="CU147" s="150">
        <v>92.90066777963273</v>
      </c>
      <c r="CV147" s="151">
        <v>3394.831730769231</v>
      </c>
      <c r="CW147" s="151">
        <v>191.2576525879661</v>
      </c>
      <c r="CX147" s="154">
        <v>6478.766025641025</v>
      </c>
      <c r="CY147" s="146">
        <v>7724</v>
      </c>
      <c r="CZ147" s="139">
        <v>4577</v>
      </c>
      <c r="DA147" s="139">
        <v>29940</v>
      </c>
      <c r="DB147" s="139">
        <v>-25363</v>
      </c>
      <c r="DC147" s="146">
        <v>14674</v>
      </c>
      <c r="DD147" s="146">
        <v>12214</v>
      </c>
      <c r="DE147" s="160"/>
      <c r="DG147" s="138">
        <v>251</v>
      </c>
      <c r="DH147" s="138">
        <v>410</v>
      </c>
      <c r="DI147" s="139">
        <v>2186</v>
      </c>
      <c r="DJ147" s="138">
        <v>2489</v>
      </c>
      <c r="DM147" s="139">
        <v>-303</v>
      </c>
      <c r="DN147" s="138">
        <v>-1030</v>
      </c>
      <c r="DO147" s="138">
        <v>1584</v>
      </c>
      <c r="DQ147" s="138">
        <v>251</v>
      </c>
      <c r="DR147" s="139">
        <v>15189</v>
      </c>
      <c r="DS147" s="139">
        <v>2108</v>
      </c>
      <c r="DT147" s="176"/>
      <c r="DU147" s="139">
        <v>264</v>
      </c>
      <c r="DV147" s="151">
        <v>0</v>
      </c>
      <c r="DW147" s="138">
        <v>90</v>
      </c>
      <c r="DX147" s="138">
        <v>14674</v>
      </c>
      <c r="DY147" s="146">
        <v>12137</v>
      </c>
      <c r="DZ147" s="196">
        <v>1427</v>
      </c>
      <c r="EA147" s="146">
        <v>1110</v>
      </c>
      <c r="EB147" s="114">
        <v>18</v>
      </c>
      <c r="EC147" s="152"/>
      <c r="ED147" s="138">
        <v>76</v>
      </c>
      <c r="EE147" s="138">
        <v>17057</v>
      </c>
      <c r="EF147" s="138">
        <v>18020</v>
      </c>
      <c r="EG147" s="138">
        <v>19137</v>
      </c>
      <c r="EH147" s="138"/>
      <c r="EI147" s="138"/>
      <c r="EJ147" s="138"/>
      <c r="EK147" s="3">
        <v>-1716</v>
      </c>
      <c r="EL147" s="138">
        <v>78</v>
      </c>
      <c r="EM147" s="138">
        <v>49</v>
      </c>
      <c r="EN147" s="3">
        <v>-3320</v>
      </c>
      <c r="EO147" s="138"/>
      <c r="EP147" s="138"/>
      <c r="EQ147" s="3">
        <v>-2394</v>
      </c>
      <c r="ER147" s="138">
        <v>22</v>
      </c>
      <c r="ES147" s="138">
        <v>354</v>
      </c>
      <c r="ET147" s="163"/>
      <c r="EU147" s="163"/>
      <c r="EV147" s="138"/>
      <c r="EW147" s="138"/>
      <c r="EX147" s="138"/>
      <c r="EY147" s="138"/>
      <c r="EZ147" s="138">
        <v>0</v>
      </c>
      <c r="FA147" s="138">
        <v>0</v>
      </c>
      <c r="FB147" s="138">
        <v>0</v>
      </c>
      <c r="FC147" s="138">
        <v>917</v>
      </c>
      <c r="FD147" s="138">
        <v>0</v>
      </c>
      <c r="FE147" s="138">
        <v>0</v>
      </c>
      <c r="FF147" s="138">
        <v>0</v>
      </c>
      <c r="FG147" s="138">
        <v>972</v>
      </c>
      <c r="FH147" s="138">
        <v>0</v>
      </c>
      <c r="FI147" s="138">
        <v>0</v>
      </c>
      <c r="FJ147" s="138">
        <v>0</v>
      </c>
      <c r="FK147" s="138">
        <v>965</v>
      </c>
      <c r="FL147" s="147">
        <v>2216</v>
      </c>
      <c r="FM147" s="147">
        <v>2581.8399044205494</v>
      </c>
      <c r="FO147" s="181">
        <f t="shared" si="6"/>
        <v>674.2777777777778</v>
      </c>
      <c r="FP147" s="179">
        <f t="shared" si="8"/>
        <v>135.07167022792024</v>
      </c>
      <c r="FR147" s="184"/>
      <c r="FV147" s="184">
        <v>0</v>
      </c>
      <c r="FW147" s="2">
        <f t="shared" si="7"/>
        <v>0</v>
      </c>
    </row>
    <row r="148" spans="1:179" ht="12.75">
      <c r="A148" s="82">
        <v>442</v>
      </c>
      <c r="B148" s="80" t="s">
        <v>144</v>
      </c>
      <c r="C148" s="191">
        <v>3353</v>
      </c>
      <c r="D148" s="146"/>
      <c r="E148" s="150">
        <v>0.4248633879781421</v>
      </c>
      <c r="F148" s="150">
        <v>42.6</v>
      </c>
      <c r="G148" s="151">
        <v>-1718</v>
      </c>
      <c r="H148" s="152"/>
      <c r="I148" s="152"/>
      <c r="J148" s="152"/>
      <c r="K148" s="150">
        <v>49.6</v>
      </c>
      <c r="L148" s="151">
        <v>199</v>
      </c>
      <c r="M148" s="151">
        <v>13</v>
      </c>
      <c r="N148" s="154">
        <v>6406.5016403221</v>
      </c>
      <c r="O148" s="146">
        <v>5093</v>
      </c>
      <c r="P148" s="139">
        <v>2441</v>
      </c>
      <c r="Q148" s="139">
        <v>17240</v>
      </c>
      <c r="R148" s="139">
        <v>-14799</v>
      </c>
      <c r="S148" s="146">
        <v>10198</v>
      </c>
      <c r="T148" s="139">
        <v>4348</v>
      </c>
      <c r="U148" s="160"/>
      <c r="W148" s="138">
        <v>-121</v>
      </c>
      <c r="X148" s="138">
        <v>47</v>
      </c>
      <c r="Y148" s="139">
        <v>-327</v>
      </c>
      <c r="Z148" s="138">
        <v>607</v>
      </c>
      <c r="AC148" s="139">
        <v>-934</v>
      </c>
      <c r="AD148" s="138">
        <v>5</v>
      </c>
      <c r="AF148" s="139"/>
      <c r="AG148" s="139">
        <v>-929</v>
      </c>
      <c r="AH148" s="139">
        <v>466</v>
      </c>
      <c r="AI148" s="139">
        <v>-688</v>
      </c>
      <c r="AJ148" s="176"/>
      <c r="AK148" s="139">
        <v>196</v>
      </c>
      <c r="AL148" s="151">
        <v>-515</v>
      </c>
      <c r="AM148" s="151">
        <v>-1291</v>
      </c>
      <c r="AN148" s="146">
        <v>10198</v>
      </c>
      <c r="AO148" s="139">
        <v>9228</v>
      </c>
      <c r="AP148" s="139">
        <v>404</v>
      </c>
      <c r="AQ148" s="139">
        <v>566</v>
      </c>
      <c r="AR148" s="114">
        <v>19</v>
      </c>
      <c r="AS148" s="152"/>
      <c r="AT148" s="138">
        <v>305</v>
      </c>
      <c r="AU148" s="191">
        <v>3360</v>
      </c>
      <c r="AV148" s="146"/>
      <c r="AW148" s="150">
        <v>-0.00390625</v>
      </c>
      <c r="AX148" s="150">
        <v>44.8</v>
      </c>
      <c r="AY148" s="151">
        <v>-1992</v>
      </c>
      <c r="AZ148" s="152"/>
      <c r="BA148" s="152"/>
      <c r="BB148" s="152"/>
      <c r="BC148" s="150">
        <v>45.3</v>
      </c>
      <c r="BD148" s="151">
        <v>83</v>
      </c>
      <c r="BE148" s="151">
        <v>5</v>
      </c>
      <c r="BF148" s="154">
        <v>5733.333333333333</v>
      </c>
      <c r="BG148" s="146">
        <v>5465</v>
      </c>
      <c r="BH148" s="139">
        <v>2090</v>
      </c>
      <c r="BI148" s="139">
        <v>17500</v>
      </c>
      <c r="BJ148" s="139">
        <v>-15410</v>
      </c>
      <c r="BK148" s="146">
        <v>10817</v>
      </c>
      <c r="BL148" s="146">
        <v>4549</v>
      </c>
      <c r="BM148" s="160"/>
      <c r="BO148" s="138">
        <v>-103</v>
      </c>
      <c r="BP148" s="138">
        <v>30</v>
      </c>
      <c r="BQ148" s="139">
        <v>-117</v>
      </c>
      <c r="BR148" s="138">
        <v>645</v>
      </c>
      <c r="BU148" s="139">
        <v>-762</v>
      </c>
      <c r="BV148" s="138">
        <v>5</v>
      </c>
      <c r="BX148" s="139"/>
      <c r="BY148" s="138">
        <v>-757</v>
      </c>
      <c r="BZ148" s="139">
        <v>-144</v>
      </c>
      <c r="CA148" s="139">
        <v>-117</v>
      </c>
      <c r="CB148" s="176"/>
      <c r="CC148" s="139">
        <v>-39</v>
      </c>
      <c r="CD148" s="151">
        <v>-654</v>
      </c>
      <c r="CE148" s="151">
        <v>-1085</v>
      </c>
      <c r="CF148" s="138">
        <v>10817</v>
      </c>
      <c r="CG148" s="139">
        <v>9931</v>
      </c>
      <c r="CH148" s="139">
        <v>239</v>
      </c>
      <c r="CI148" s="139">
        <v>647</v>
      </c>
      <c r="CJ148" s="114">
        <v>19.75</v>
      </c>
      <c r="CK148" s="152"/>
      <c r="CL148" s="138">
        <v>259</v>
      </c>
      <c r="CM148" s="190">
        <v>3355</v>
      </c>
      <c r="CN148" s="146"/>
      <c r="CO148" s="150">
        <v>-0.03598971722365039</v>
      </c>
      <c r="CP148" s="150">
        <v>46.735702270815814</v>
      </c>
      <c r="CQ148" s="151">
        <v>-2312.667660208644</v>
      </c>
      <c r="CR148" s="152"/>
      <c r="CS148" s="152"/>
      <c r="CT148" s="152"/>
      <c r="CU148" s="150">
        <v>39.23035449521499</v>
      </c>
      <c r="CV148" s="151">
        <v>241.72876304023845</v>
      </c>
      <c r="CW148" s="151">
        <v>14.181718008911034</v>
      </c>
      <c r="CX148" s="154">
        <v>6221.460506706408</v>
      </c>
      <c r="CY148" s="146">
        <v>7392</v>
      </c>
      <c r="CZ148" s="139">
        <v>2788</v>
      </c>
      <c r="DA148" s="139">
        <v>19070</v>
      </c>
      <c r="DB148" s="139">
        <v>-16282</v>
      </c>
      <c r="DC148" s="146">
        <v>11524</v>
      </c>
      <c r="DD148" s="146">
        <v>4712</v>
      </c>
      <c r="DE148" s="160"/>
      <c r="DG148" s="138">
        <v>-69</v>
      </c>
      <c r="DH148" s="138">
        <v>12</v>
      </c>
      <c r="DI148" s="139">
        <v>-103</v>
      </c>
      <c r="DJ148" s="138">
        <v>698</v>
      </c>
      <c r="DM148" s="139">
        <v>-801</v>
      </c>
      <c r="DN148" s="138">
        <v>5</v>
      </c>
      <c r="DP148" s="139"/>
      <c r="DQ148" s="138">
        <v>-796</v>
      </c>
      <c r="DR148" s="139">
        <v>-940</v>
      </c>
      <c r="DS148" s="139">
        <v>-678</v>
      </c>
      <c r="DT148" s="176"/>
      <c r="DU148" s="139">
        <v>519</v>
      </c>
      <c r="DV148" s="151">
        <v>-703</v>
      </c>
      <c r="DW148" s="138">
        <v>-1074</v>
      </c>
      <c r="DX148" s="138">
        <v>11524</v>
      </c>
      <c r="DY148" s="146">
        <v>10575</v>
      </c>
      <c r="DZ148" s="196">
        <v>279</v>
      </c>
      <c r="EA148" s="146">
        <v>670</v>
      </c>
      <c r="EB148" s="114">
        <v>19.75</v>
      </c>
      <c r="EC148" s="152"/>
      <c r="ED148" s="138">
        <v>283</v>
      </c>
      <c r="EE148" s="138">
        <v>10575</v>
      </c>
      <c r="EF148" s="138">
        <v>10410</v>
      </c>
      <c r="EG148" s="138">
        <v>9605</v>
      </c>
      <c r="EH148" s="138"/>
      <c r="EI148" s="138"/>
      <c r="EJ148" s="138"/>
      <c r="EK148" s="3">
        <v>-1108</v>
      </c>
      <c r="EL148" s="138"/>
      <c r="EM148" s="138">
        <v>505</v>
      </c>
      <c r="EN148" s="3">
        <v>-992</v>
      </c>
      <c r="EO148" s="138"/>
      <c r="EP148" s="138">
        <v>24</v>
      </c>
      <c r="EQ148" s="3">
        <v>-1017</v>
      </c>
      <c r="ES148" s="138">
        <v>621</v>
      </c>
      <c r="ET148" s="163">
        <v>1000</v>
      </c>
      <c r="EU148" s="163">
        <v>-100</v>
      </c>
      <c r="EV148" s="138">
        <v>1000</v>
      </c>
      <c r="EW148" s="138">
        <v>200</v>
      </c>
      <c r="EX148" s="138">
        <v>1060</v>
      </c>
      <c r="EY148" s="138">
        <v>300</v>
      </c>
      <c r="EZ148" s="138">
        <v>5247</v>
      </c>
      <c r="FA148" s="138">
        <v>4626</v>
      </c>
      <c r="FB148" s="138">
        <v>621</v>
      </c>
      <c r="FC148" s="138">
        <v>110</v>
      </c>
      <c r="FD148" s="138">
        <v>5793</v>
      </c>
      <c r="FE148" s="138">
        <v>4927</v>
      </c>
      <c r="FF148" s="138">
        <v>866</v>
      </c>
      <c r="FG148" s="138">
        <v>106</v>
      </c>
      <c r="FH148" s="138">
        <v>6450</v>
      </c>
      <c r="FI148" s="138">
        <v>5209</v>
      </c>
      <c r="FJ148" s="138">
        <v>1241</v>
      </c>
      <c r="FK148" s="138">
        <v>106</v>
      </c>
      <c r="FL148" s="147">
        <v>1890</v>
      </c>
      <c r="FM148" s="147">
        <v>2042.8571428571427</v>
      </c>
      <c r="FO148" s="181">
        <f t="shared" si="6"/>
        <v>535.4430379746835</v>
      </c>
      <c r="FP148" s="179">
        <f t="shared" si="8"/>
        <v>159.59554037993547</v>
      </c>
      <c r="FR148" s="184"/>
      <c r="FV148" s="184">
        <v>515</v>
      </c>
      <c r="FW148" s="2">
        <f t="shared" si="7"/>
        <v>-515</v>
      </c>
    </row>
    <row r="149" spans="1:179" ht="12.75">
      <c r="A149" s="82">
        <v>475</v>
      </c>
      <c r="B149" s="80" t="s">
        <v>146</v>
      </c>
      <c r="C149" s="191">
        <v>5614</v>
      </c>
      <c r="D149" s="146"/>
      <c r="E149" s="150">
        <v>2.4455284552845526</v>
      </c>
      <c r="F149" s="150">
        <v>41.3</v>
      </c>
      <c r="G149" s="151">
        <v>-2313</v>
      </c>
      <c r="H149" s="152"/>
      <c r="I149" s="152"/>
      <c r="J149" s="152"/>
      <c r="K149" s="150">
        <v>54.1</v>
      </c>
      <c r="L149" s="151">
        <v>188</v>
      </c>
      <c r="M149" s="151">
        <v>9</v>
      </c>
      <c r="N149" s="154">
        <v>10071.85628742515</v>
      </c>
      <c r="O149" s="146">
        <v>20775</v>
      </c>
      <c r="P149" s="139">
        <v>8180</v>
      </c>
      <c r="Q149" s="139">
        <v>37983</v>
      </c>
      <c r="R149" s="139">
        <v>-29803</v>
      </c>
      <c r="S149" s="146">
        <v>16013</v>
      </c>
      <c r="T149" s="139">
        <v>15412</v>
      </c>
      <c r="U149" s="160"/>
      <c r="W149" s="138">
        <v>-198</v>
      </c>
      <c r="X149" s="138">
        <v>62</v>
      </c>
      <c r="Y149" s="139">
        <v>1486</v>
      </c>
      <c r="Z149" s="138">
        <v>1331</v>
      </c>
      <c r="AC149" s="139">
        <v>155</v>
      </c>
      <c r="AD149" s="139">
        <v>23</v>
      </c>
      <c r="AE149" s="139"/>
      <c r="AG149" s="139">
        <v>178</v>
      </c>
      <c r="AH149" s="139">
        <v>3659</v>
      </c>
      <c r="AI149" s="139">
        <v>1361</v>
      </c>
      <c r="AJ149" s="176"/>
      <c r="AK149" s="139">
        <v>-40</v>
      </c>
      <c r="AL149" s="151">
        <v>-597</v>
      </c>
      <c r="AM149" s="151">
        <v>-1194</v>
      </c>
      <c r="AN149" s="146">
        <v>16013</v>
      </c>
      <c r="AO149" s="139">
        <v>14044</v>
      </c>
      <c r="AP149" s="139">
        <v>969</v>
      </c>
      <c r="AQ149" s="139">
        <v>1000</v>
      </c>
      <c r="AR149" s="114">
        <v>19.75</v>
      </c>
      <c r="AS149" s="152"/>
      <c r="AT149" s="138">
        <v>157</v>
      </c>
      <c r="AU149" s="191">
        <v>5586</v>
      </c>
      <c r="AV149" s="146"/>
      <c r="AW149" s="150">
        <v>1.0616686819830714</v>
      </c>
      <c r="AX149" s="150">
        <v>41</v>
      </c>
      <c r="AY149" s="151">
        <v>-2528</v>
      </c>
      <c r="AZ149" s="152"/>
      <c r="BA149" s="152"/>
      <c r="BB149" s="152"/>
      <c r="BC149" s="150">
        <v>52</v>
      </c>
      <c r="BD149" s="151">
        <v>128</v>
      </c>
      <c r="BE149" s="151">
        <v>6</v>
      </c>
      <c r="BF149" s="154">
        <v>7801.825993555317</v>
      </c>
      <c r="BG149" s="146">
        <v>21421</v>
      </c>
      <c r="BH149" s="139">
        <v>8463</v>
      </c>
      <c r="BI149" s="139">
        <v>40637</v>
      </c>
      <c r="BJ149" s="139">
        <v>-32174</v>
      </c>
      <c r="BK149" s="146">
        <v>16740</v>
      </c>
      <c r="BL149" s="146">
        <v>16204</v>
      </c>
      <c r="BM149" s="160"/>
      <c r="BO149" s="138">
        <v>-198</v>
      </c>
      <c r="BP149" s="138">
        <v>75</v>
      </c>
      <c r="BQ149" s="139">
        <v>647</v>
      </c>
      <c r="BR149" s="138">
        <v>1359</v>
      </c>
      <c r="BU149" s="139">
        <v>-712</v>
      </c>
      <c r="BV149" s="139">
        <v>23</v>
      </c>
      <c r="BW149" s="139"/>
      <c r="BY149" s="138">
        <v>-689</v>
      </c>
      <c r="BZ149" s="139">
        <v>2971</v>
      </c>
      <c r="CA149" s="139">
        <v>535</v>
      </c>
      <c r="CB149" s="176"/>
      <c r="CC149" s="139">
        <v>152</v>
      </c>
      <c r="CD149" s="151">
        <v>-596</v>
      </c>
      <c r="CE149" s="151">
        <v>-1162</v>
      </c>
      <c r="CF149" s="138">
        <v>16740</v>
      </c>
      <c r="CG149" s="139">
        <v>15052</v>
      </c>
      <c r="CH149" s="139">
        <v>644</v>
      </c>
      <c r="CI149" s="139">
        <v>1044</v>
      </c>
      <c r="CJ149" s="114">
        <v>20.25</v>
      </c>
      <c r="CK149" s="152"/>
      <c r="CL149" s="138">
        <v>178</v>
      </c>
      <c r="CM149" s="190">
        <v>5580</v>
      </c>
      <c r="CN149" s="146"/>
      <c r="CO149" s="150">
        <v>0.38589211618257263</v>
      </c>
      <c r="CP149" s="150">
        <v>46.84137737043201</v>
      </c>
      <c r="CQ149" s="151">
        <v>-3034.4086021505373</v>
      </c>
      <c r="CR149" s="152"/>
      <c r="CS149" s="152"/>
      <c r="CT149" s="152"/>
      <c r="CU149" s="150">
        <v>46.18967524906198</v>
      </c>
      <c r="CV149" s="151">
        <v>198.2078853046595</v>
      </c>
      <c r="CW149" s="151">
        <v>8.67553511561936</v>
      </c>
      <c r="CX149" s="154">
        <v>8339.068100358423</v>
      </c>
      <c r="CY149" s="146">
        <v>22225</v>
      </c>
      <c r="CZ149" s="139">
        <v>8760</v>
      </c>
      <c r="DA149" s="139">
        <v>42535</v>
      </c>
      <c r="DB149" s="139">
        <v>-33775</v>
      </c>
      <c r="DC149" s="146">
        <v>17718</v>
      </c>
      <c r="DD149" s="146">
        <v>16237</v>
      </c>
      <c r="DE149" s="160"/>
      <c r="DG149" s="138">
        <v>-108</v>
      </c>
      <c r="DH149" s="138">
        <v>80</v>
      </c>
      <c r="DI149" s="139">
        <v>152</v>
      </c>
      <c r="DJ149" s="138">
        <v>1537</v>
      </c>
      <c r="DM149" s="139">
        <v>-1385</v>
      </c>
      <c r="DN149" s="139">
        <v>23</v>
      </c>
      <c r="DO149" s="139"/>
      <c r="DQ149" s="138">
        <v>-1362</v>
      </c>
      <c r="DR149" s="139">
        <v>1609</v>
      </c>
      <c r="DS149" s="139">
        <v>45</v>
      </c>
      <c r="DT149" s="176"/>
      <c r="DU149" s="139">
        <v>187</v>
      </c>
      <c r="DV149" s="151">
        <v>-596</v>
      </c>
      <c r="DW149" s="138">
        <v>-2755</v>
      </c>
      <c r="DX149" s="138">
        <v>17718</v>
      </c>
      <c r="DY149" s="146">
        <v>15791</v>
      </c>
      <c r="DZ149" s="196">
        <v>738</v>
      </c>
      <c r="EA149" s="146">
        <v>1189</v>
      </c>
      <c r="EB149" s="114">
        <v>20.25</v>
      </c>
      <c r="EC149" s="152"/>
      <c r="ED149" s="138">
        <v>266</v>
      </c>
      <c r="EE149" s="138">
        <v>12963</v>
      </c>
      <c r="EF149" s="138">
        <v>14646</v>
      </c>
      <c r="EG149" s="138">
        <v>15725</v>
      </c>
      <c r="EH149" s="138"/>
      <c r="EI149" s="138"/>
      <c r="EJ149" s="138"/>
      <c r="EK149" s="3">
        <v>-2987</v>
      </c>
      <c r="EL149" s="138">
        <v>98</v>
      </c>
      <c r="EM149" s="138">
        <v>334</v>
      </c>
      <c r="EN149" s="3">
        <v>-1993</v>
      </c>
      <c r="EO149" s="138">
        <v>144</v>
      </c>
      <c r="EP149" s="138">
        <v>152</v>
      </c>
      <c r="EQ149" s="3">
        <v>-3138</v>
      </c>
      <c r="ER149" s="138">
        <v>180</v>
      </c>
      <c r="ES149" s="138">
        <v>158</v>
      </c>
      <c r="ET149" s="163">
        <v>4200</v>
      </c>
      <c r="EU149" s="163">
        <v>-2700</v>
      </c>
      <c r="EV149" s="138">
        <v>1000</v>
      </c>
      <c r="EW149" s="138"/>
      <c r="EX149" s="138"/>
      <c r="EY149" s="138">
        <v>3100</v>
      </c>
      <c r="EZ149" s="138">
        <v>9698</v>
      </c>
      <c r="FA149" s="138">
        <v>9103</v>
      </c>
      <c r="FB149" s="138">
        <v>595</v>
      </c>
      <c r="FC149" s="138">
        <v>1791</v>
      </c>
      <c r="FD149" s="138">
        <v>10104</v>
      </c>
      <c r="FE149" s="138">
        <v>8783</v>
      </c>
      <c r="FF149" s="138">
        <v>1321</v>
      </c>
      <c r="FG149" s="138">
        <v>1748</v>
      </c>
      <c r="FH149" s="138">
        <v>12607</v>
      </c>
      <c r="FI149" s="138">
        <v>8910</v>
      </c>
      <c r="FJ149" s="138">
        <v>3697</v>
      </c>
      <c r="FK149" s="138">
        <v>1806</v>
      </c>
      <c r="FL149" s="147">
        <v>2099</v>
      </c>
      <c r="FM149" s="147">
        <v>2306.122448979592</v>
      </c>
      <c r="FO149" s="181">
        <f t="shared" si="6"/>
        <v>779.8024691358024</v>
      </c>
      <c r="FP149" s="179">
        <f t="shared" si="8"/>
        <v>139.74954644010796</v>
      </c>
      <c r="FR149" s="184"/>
      <c r="FV149" s="184">
        <v>597</v>
      </c>
      <c r="FW149" s="2">
        <f t="shared" si="7"/>
        <v>-597</v>
      </c>
    </row>
    <row r="150" spans="1:179" ht="12.75">
      <c r="A150" s="82">
        <v>476</v>
      </c>
      <c r="B150" s="80" t="s">
        <v>147</v>
      </c>
      <c r="C150" s="191">
        <v>3841</v>
      </c>
      <c r="D150" s="146"/>
      <c r="E150" s="150">
        <v>0.8332358104154476</v>
      </c>
      <c r="F150" s="150">
        <v>31.8</v>
      </c>
      <c r="G150" s="151">
        <v>-2525</v>
      </c>
      <c r="H150" s="152"/>
      <c r="I150" s="152"/>
      <c r="J150" s="152"/>
      <c r="K150" s="150">
        <v>45.5</v>
      </c>
      <c r="L150" s="151">
        <v>233</v>
      </c>
      <c r="M150" s="151">
        <v>8</v>
      </c>
      <c r="N150" s="154">
        <v>6050.550550550551</v>
      </c>
      <c r="O150" s="146">
        <v>17468</v>
      </c>
      <c r="P150" s="139">
        <v>18743</v>
      </c>
      <c r="Q150" s="139">
        <v>37661</v>
      </c>
      <c r="R150" s="139">
        <v>-18918</v>
      </c>
      <c r="S150" s="146">
        <v>9614</v>
      </c>
      <c r="T150" s="139">
        <v>10239</v>
      </c>
      <c r="U150" s="160"/>
      <c r="W150" s="138">
        <v>-260</v>
      </c>
      <c r="X150" s="138">
        <v>245</v>
      </c>
      <c r="Y150" s="139">
        <v>920</v>
      </c>
      <c r="Z150" s="138">
        <v>912</v>
      </c>
      <c r="AB150" s="138">
        <v>40</v>
      </c>
      <c r="AC150" s="139">
        <v>-32</v>
      </c>
      <c r="AD150" s="139"/>
      <c r="AG150" s="139">
        <v>-32</v>
      </c>
      <c r="AH150" s="139">
        <v>-156</v>
      </c>
      <c r="AI150" s="139">
        <v>757</v>
      </c>
      <c r="AJ150" s="176"/>
      <c r="AK150" s="139">
        <v>102</v>
      </c>
      <c r="AL150" s="151">
        <v>-1205</v>
      </c>
      <c r="AM150" s="151">
        <v>-8</v>
      </c>
      <c r="AN150" s="146">
        <v>9614</v>
      </c>
      <c r="AO150" s="139">
        <v>8541</v>
      </c>
      <c r="AP150" s="139">
        <v>551</v>
      </c>
      <c r="AQ150" s="139">
        <v>522</v>
      </c>
      <c r="AR150" s="114">
        <v>19.5</v>
      </c>
      <c r="AS150" s="152"/>
      <c r="AT150" s="138">
        <v>168</v>
      </c>
      <c r="AU150" s="191">
        <v>3826</v>
      </c>
      <c r="AV150" s="146"/>
      <c r="AW150" s="150">
        <v>0.4656652360515021</v>
      </c>
      <c r="AX150" s="150">
        <v>29.2</v>
      </c>
      <c r="AY150" s="151">
        <v>-2381</v>
      </c>
      <c r="AZ150" s="152"/>
      <c r="BA150" s="152"/>
      <c r="BB150" s="152"/>
      <c r="BC150" s="150">
        <v>46.4</v>
      </c>
      <c r="BD150" s="151">
        <v>221</v>
      </c>
      <c r="BE150" s="151">
        <v>8</v>
      </c>
      <c r="BF150" s="154">
        <v>10731.8348144276</v>
      </c>
      <c r="BG150" s="146">
        <v>17712</v>
      </c>
      <c r="BH150" s="139">
        <v>19574</v>
      </c>
      <c r="BI150" s="139">
        <v>39319</v>
      </c>
      <c r="BJ150" s="139">
        <v>-19745</v>
      </c>
      <c r="BK150" s="146">
        <v>10361</v>
      </c>
      <c r="BL150" s="146">
        <v>9743</v>
      </c>
      <c r="BM150" s="160"/>
      <c r="BO150" s="138">
        <v>-220</v>
      </c>
      <c r="BP150" s="138">
        <v>289</v>
      </c>
      <c r="BQ150" s="139">
        <v>428</v>
      </c>
      <c r="BR150" s="138">
        <v>955</v>
      </c>
      <c r="BU150" s="139">
        <v>-527</v>
      </c>
      <c r="BV150" s="139"/>
      <c r="BY150" s="138">
        <v>-527</v>
      </c>
      <c r="BZ150" s="139">
        <v>-365</v>
      </c>
      <c r="CA150" s="139">
        <v>381</v>
      </c>
      <c r="CB150" s="176"/>
      <c r="CC150" s="139">
        <v>33</v>
      </c>
      <c r="CD150" s="151">
        <v>-1175</v>
      </c>
      <c r="CE150" s="151">
        <v>204</v>
      </c>
      <c r="CF150" s="138">
        <v>10361</v>
      </c>
      <c r="CG150" s="139">
        <v>9474</v>
      </c>
      <c r="CH150" s="139">
        <v>354</v>
      </c>
      <c r="CI150" s="139">
        <v>533</v>
      </c>
      <c r="CJ150" s="114">
        <v>20.5</v>
      </c>
      <c r="CK150" s="152"/>
      <c r="CL150" s="138">
        <v>183</v>
      </c>
      <c r="CM150" s="190">
        <v>3771</v>
      </c>
      <c r="CN150" s="146"/>
      <c r="CO150" s="150">
        <v>2.710810810810811</v>
      </c>
      <c r="CP150" s="150">
        <v>26.86762778505898</v>
      </c>
      <c r="CQ150" s="151">
        <v>-1774.3304163351895</v>
      </c>
      <c r="CR150" s="152"/>
      <c r="CS150" s="152"/>
      <c r="CT150" s="152"/>
      <c r="CU150" s="150">
        <v>52.315638699596335</v>
      </c>
      <c r="CV150" s="151">
        <v>570.4057279236276</v>
      </c>
      <c r="CW150" s="151">
        <v>19.467270022315894</v>
      </c>
      <c r="CX150" s="154">
        <v>10694.77592150623</v>
      </c>
      <c r="CY150" s="146">
        <v>18564</v>
      </c>
      <c r="CZ150" s="139">
        <v>19509</v>
      </c>
      <c r="DA150" s="139">
        <v>37801</v>
      </c>
      <c r="DB150" s="139">
        <v>-18292</v>
      </c>
      <c r="DC150" s="146">
        <v>11340</v>
      </c>
      <c r="DD150" s="146">
        <v>9590</v>
      </c>
      <c r="DE150" s="160"/>
      <c r="DG150" s="138">
        <v>-150</v>
      </c>
      <c r="DH150" s="138">
        <v>371</v>
      </c>
      <c r="DI150" s="139">
        <v>2859</v>
      </c>
      <c r="DJ150" s="138">
        <v>880</v>
      </c>
      <c r="DM150" s="139">
        <v>1979</v>
      </c>
      <c r="DN150" s="139"/>
      <c r="DQ150" s="138">
        <v>1979</v>
      </c>
      <c r="DR150" s="139">
        <v>1614</v>
      </c>
      <c r="DS150" s="139">
        <v>1439</v>
      </c>
      <c r="DT150" s="176"/>
      <c r="DU150" s="139">
        <v>-375</v>
      </c>
      <c r="DV150" s="151">
        <v>-960</v>
      </c>
      <c r="DW150" s="138">
        <v>2388</v>
      </c>
      <c r="DX150" s="138">
        <v>11340</v>
      </c>
      <c r="DY150" s="146">
        <v>10337</v>
      </c>
      <c r="DZ150" s="196">
        <v>440</v>
      </c>
      <c r="EA150" s="146">
        <v>563</v>
      </c>
      <c r="EB150" s="114">
        <v>20.5</v>
      </c>
      <c r="EC150" s="152"/>
      <c r="ED150" s="138">
        <v>16</v>
      </c>
      <c r="EE150" s="138">
        <v>18598</v>
      </c>
      <c r="EF150" s="138">
        <v>20029</v>
      </c>
      <c r="EG150" s="138">
        <v>17318</v>
      </c>
      <c r="EH150" s="138">
        <v>550</v>
      </c>
      <c r="EI150" s="138"/>
      <c r="EJ150" s="138"/>
      <c r="EK150" s="3">
        <v>-909</v>
      </c>
      <c r="EL150" s="138"/>
      <c r="EM150" s="138">
        <v>144</v>
      </c>
      <c r="EN150" s="3">
        <v>-336</v>
      </c>
      <c r="EO150" s="138">
        <v>26</v>
      </c>
      <c r="EP150" s="138">
        <v>133</v>
      </c>
      <c r="EQ150" s="3">
        <v>-1408</v>
      </c>
      <c r="ER150" s="138">
        <v>63</v>
      </c>
      <c r="ES150" s="138">
        <v>2294</v>
      </c>
      <c r="ET150" s="163"/>
      <c r="EU150" s="163"/>
      <c r="EV150" s="138"/>
      <c r="EW150" s="138"/>
      <c r="EX150" s="138"/>
      <c r="EY150" s="138"/>
      <c r="EZ150" s="138">
        <v>8312</v>
      </c>
      <c r="FA150" s="138">
        <v>7137</v>
      </c>
      <c r="FB150" s="138">
        <v>1175</v>
      </c>
      <c r="FC150" s="138">
        <v>36</v>
      </c>
      <c r="FD150" s="138">
        <v>7138</v>
      </c>
      <c r="FE150" s="138">
        <v>6178</v>
      </c>
      <c r="FF150" s="138">
        <v>960</v>
      </c>
      <c r="FG150" s="138">
        <v>0</v>
      </c>
      <c r="FH150" s="138">
        <v>6178</v>
      </c>
      <c r="FI150" s="138">
        <v>5218</v>
      </c>
      <c r="FJ150" s="138">
        <v>960</v>
      </c>
      <c r="FK150" s="138">
        <v>0</v>
      </c>
      <c r="FL150" s="147">
        <v>2738</v>
      </c>
      <c r="FM150" s="147">
        <v>2661.2650287506535</v>
      </c>
      <c r="FO150" s="181">
        <f t="shared" si="6"/>
        <v>504.2439024390244</v>
      </c>
      <c r="FP150" s="179">
        <f t="shared" si="8"/>
        <v>133.71622976372961</v>
      </c>
      <c r="FR150" s="184"/>
      <c r="FV150" s="184">
        <v>1205</v>
      </c>
      <c r="FW150" s="2">
        <f t="shared" si="7"/>
        <v>-1205</v>
      </c>
    </row>
    <row r="151" spans="1:179" ht="12.75">
      <c r="A151" s="82">
        <v>480</v>
      </c>
      <c r="B151" s="80" t="s">
        <v>148</v>
      </c>
      <c r="C151" s="191">
        <v>1998</v>
      </c>
      <c r="D151" s="146"/>
      <c r="E151" s="150">
        <v>1.651026392961877</v>
      </c>
      <c r="F151" s="150">
        <v>17.3</v>
      </c>
      <c r="G151" s="151">
        <v>-634</v>
      </c>
      <c r="H151" s="152"/>
      <c r="I151" s="152"/>
      <c r="J151" s="152"/>
      <c r="K151" s="150">
        <v>81.1</v>
      </c>
      <c r="L151" s="151">
        <v>90</v>
      </c>
      <c r="M151" s="151">
        <v>5</v>
      </c>
      <c r="N151" s="154">
        <v>4905.47730829421</v>
      </c>
      <c r="O151" s="146">
        <v>3519</v>
      </c>
      <c r="P151" s="139">
        <v>1685</v>
      </c>
      <c r="Q151" s="139">
        <v>10974</v>
      </c>
      <c r="R151" s="139">
        <v>-9289</v>
      </c>
      <c r="S151" s="146">
        <v>5398</v>
      </c>
      <c r="T151" s="139">
        <v>4352</v>
      </c>
      <c r="U151" s="160"/>
      <c r="W151" s="138">
        <v>-14</v>
      </c>
      <c r="X151" s="138">
        <v>26</v>
      </c>
      <c r="Y151" s="139">
        <v>473</v>
      </c>
      <c r="Z151" s="138">
        <v>447</v>
      </c>
      <c r="AC151" s="139">
        <v>26</v>
      </c>
      <c r="AD151" s="139">
        <v>16</v>
      </c>
      <c r="AG151" s="139">
        <v>42</v>
      </c>
      <c r="AH151" s="139">
        <v>3640</v>
      </c>
      <c r="AI151" s="139">
        <v>454</v>
      </c>
      <c r="AJ151" s="176"/>
      <c r="AK151" s="139">
        <v>290</v>
      </c>
      <c r="AL151" s="151">
        <v>-251</v>
      </c>
      <c r="AM151" s="151">
        <v>-557</v>
      </c>
      <c r="AN151" s="146">
        <v>5398</v>
      </c>
      <c r="AO151" s="139">
        <v>4791</v>
      </c>
      <c r="AP151" s="139">
        <v>406</v>
      </c>
      <c r="AQ151" s="139">
        <v>201</v>
      </c>
      <c r="AR151" s="114">
        <v>19.25</v>
      </c>
      <c r="AS151" s="152"/>
      <c r="AT151" s="138">
        <v>171</v>
      </c>
      <c r="AU151" s="191">
        <v>2017</v>
      </c>
      <c r="AV151" s="146"/>
      <c r="AW151" s="150">
        <v>-1.167192429022082</v>
      </c>
      <c r="AX151" s="150">
        <v>32.9</v>
      </c>
      <c r="AY151" s="151">
        <v>-1214</v>
      </c>
      <c r="AZ151" s="152"/>
      <c r="BA151" s="152"/>
      <c r="BB151" s="152"/>
      <c r="BC151" s="150">
        <v>67.7</v>
      </c>
      <c r="BD151" s="151">
        <v>303</v>
      </c>
      <c r="BE151" s="151">
        <v>18</v>
      </c>
      <c r="BF151" s="154">
        <v>6304.412493802677</v>
      </c>
      <c r="BG151" s="146">
        <v>3717</v>
      </c>
      <c r="BH151" s="139">
        <v>1733</v>
      </c>
      <c r="BI151" s="139">
        <v>11528</v>
      </c>
      <c r="BJ151" s="139">
        <v>-9795</v>
      </c>
      <c r="BK151" s="146">
        <v>5197</v>
      </c>
      <c r="BL151" s="146">
        <v>4205</v>
      </c>
      <c r="BM151" s="160"/>
      <c r="BO151" s="138">
        <v>-15</v>
      </c>
      <c r="BP151" s="138">
        <v>19</v>
      </c>
      <c r="BQ151" s="139">
        <v>-389</v>
      </c>
      <c r="BR151" s="138">
        <v>474</v>
      </c>
      <c r="BU151" s="139">
        <v>-863</v>
      </c>
      <c r="BV151" s="139">
        <v>16</v>
      </c>
      <c r="BY151" s="138">
        <v>-847</v>
      </c>
      <c r="BZ151" s="139">
        <v>2793</v>
      </c>
      <c r="CA151" s="139">
        <v>-396</v>
      </c>
      <c r="CB151" s="176"/>
      <c r="CC151" s="139">
        <v>-77</v>
      </c>
      <c r="CD151" s="151">
        <v>-298</v>
      </c>
      <c r="CE151" s="151">
        <v>-1181</v>
      </c>
      <c r="CF151" s="138">
        <v>5197</v>
      </c>
      <c r="CG151" s="139">
        <v>4809</v>
      </c>
      <c r="CH151" s="139">
        <v>187</v>
      </c>
      <c r="CI151" s="139">
        <v>201</v>
      </c>
      <c r="CJ151" s="114">
        <v>19.25</v>
      </c>
      <c r="CK151" s="152"/>
      <c r="CL151" s="138">
        <v>306</v>
      </c>
      <c r="CM151" s="190">
        <v>2056</v>
      </c>
      <c r="CN151" s="146"/>
      <c r="CO151" s="150">
        <v>1.3449477351916377</v>
      </c>
      <c r="CP151" s="150">
        <v>26.96765826375942</v>
      </c>
      <c r="CQ151" s="151">
        <v>-1098.249027237354</v>
      </c>
      <c r="CR151" s="152"/>
      <c r="CS151" s="152"/>
      <c r="CT151" s="152"/>
      <c r="CU151" s="150">
        <v>69.74950081684516</v>
      </c>
      <c r="CV151" s="151">
        <v>154.1828793774319</v>
      </c>
      <c r="CW151" s="151">
        <v>8.59812736865572</v>
      </c>
      <c r="CX151" s="154">
        <v>6545.23346303502</v>
      </c>
      <c r="CY151" s="146">
        <v>3807</v>
      </c>
      <c r="CZ151" s="139">
        <v>1877</v>
      </c>
      <c r="DA151" s="139">
        <v>11962</v>
      </c>
      <c r="DB151" s="139">
        <v>-10085</v>
      </c>
      <c r="DC151" s="146">
        <v>6009</v>
      </c>
      <c r="DD151" s="146">
        <v>4451</v>
      </c>
      <c r="DE151" s="160"/>
      <c r="DG151" s="138">
        <v>-28</v>
      </c>
      <c r="DH151" s="138">
        <v>7</v>
      </c>
      <c r="DI151" s="139">
        <v>354</v>
      </c>
      <c r="DJ151" s="138">
        <v>419</v>
      </c>
      <c r="DK151" s="138">
        <v>251</v>
      </c>
      <c r="DL151" s="138">
        <v>202</v>
      </c>
      <c r="DM151" s="139">
        <v>-16</v>
      </c>
      <c r="DN151" s="139">
        <v>16</v>
      </c>
      <c r="DQ151" s="138">
        <v>0</v>
      </c>
      <c r="DR151" s="139">
        <v>2792</v>
      </c>
      <c r="DS151" s="139">
        <v>532</v>
      </c>
      <c r="DT151" s="176"/>
      <c r="DU151" s="139">
        <v>-147</v>
      </c>
      <c r="DV151" s="151">
        <v>-256</v>
      </c>
      <c r="DW151" s="138">
        <v>190</v>
      </c>
      <c r="DX151" s="138">
        <v>6009</v>
      </c>
      <c r="DY151" s="146">
        <v>5601</v>
      </c>
      <c r="DZ151" s="196">
        <v>158</v>
      </c>
      <c r="EA151" s="146">
        <v>250</v>
      </c>
      <c r="EB151" s="114">
        <v>19.75</v>
      </c>
      <c r="EC151" s="152"/>
      <c r="ED151" s="138">
        <v>219</v>
      </c>
      <c r="EE151" s="138">
        <v>6059</v>
      </c>
      <c r="EF151" s="138">
        <v>6328</v>
      </c>
      <c r="EG151" s="138">
        <v>6642</v>
      </c>
      <c r="EH151" s="138"/>
      <c r="EI151" s="138"/>
      <c r="EJ151" s="138"/>
      <c r="EK151" s="3">
        <v>-1144</v>
      </c>
      <c r="EL151" s="138">
        <v>105</v>
      </c>
      <c r="EM151" s="138">
        <v>28</v>
      </c>
      <c r="EN151" s="3">
        <v>-871</v>
      </c>
      <c r="EO151" s="138">
        <v>43</v>
      </c>
      <c r="EP151" s="138">
        <v>43</v>
      </c>
      <c r="EQ151" s="3">
        <v>-1208</v>
      </c>
      <c r="ER151" s="138">
        <v>168</v>
      </c>
      <c r="ES151" s="138">
        <v>698</v>
      </c>
      <c r="ET151" s="163"/>
      <c r="EU151" s="163"/>
      <c r="EV151" s="138">
        <v>1900</v>
      </c>
      <c r="EW151" s="138"/>
      <c r="EX151" s="138"/>
      <c r="EY151" s="138"/>
      <c r="EZ151" s="138">
        <v>680</v>
      </c>
      <c r="FA151" s="138">
        <v>432</v>
      </c>
      <c r="FB151" s="138">
        <v>248</v>
      </c>
      <c r="FC151" s="138">
        <v>103</v>
      </c>
      <c r="FD151" s="138">
        <v>2282</v>
      </c>
      <c r="FE151" s="138">
        <v>2026</v>
      </c>
      <c r="FF151" s="138">
        <v>256</v>
      </c>
      <c r="FG151" s="138">
        <v>103</v>
      </c>
      <c r="FH151" s="138">
        <v>2026</v>
      </c>
      <c r="FI151" s="138">
        <v>1770</v>
      </c>
      <c r="FJ151" s="138">
        <v>256</v>
      </c>
      <c r="FK151" s="138">
        <v>103</v>
      </c>
      <c r="FL151" s="147">
        <v>1438</v>
      </c>
      <c r="FM151" s="147">
        <v>2320.7734258800197</v>
      </c>
      <c r="FO151" s="181">
        <f t="shared" si="6"/>
        <v>283.59493670886076</v>
      </c>
      <c r="FP151" s="179">
        <f t="shared" si="8"/>
        <v>137.93528050041866</v>
      </c>
      <c r="FR151" s="184"/>
      <c r="FV151" s="184">
        <v>251</v>
      </c>
      <c r="FW151" s="2">
        <f t="shared" si="7"/>
        <v>-251</v>
      </c>
    </row>
    <row r="152" spans="1:179" ht="12.75">
      <c r="A152" s="82">
        <v>481</v>
      </c>
      <c r="B152" s="80" t="s">
        <v>149</v>
      </c>
      <c r="C152" s="191">
        <v>9585</v>
      </c>
      <c r="D152" s="146"/>
      <c r="E152" s="150">
        <v>0.8767263427109975</v>
      </c>
      <c r="F152" s="150">
        <v>73.8</v>
      </c>
      <c r="G152" s="151">
        <v>-3177</v>
      </c>
      <c r="H152" s="152"/>
      <c r="I152" s="152"/>
      <c r="J152" s="152"/>
      <c r="K152" s="150">
        <v>41</v>
      </c>
      <c r="L152" s="151">
        <v>93</v>
      </c>
      <c r="M152" s="151">
        <v>6</v>
      </c>
      <c r="N152" s="154">
        <v>60072.56046705588</v>
      </c>
      <c r="O152" s="146">
        <v>16181</v>
      </c>
      <c r="P152" s="139">
        <v>8853</v>
      </c>
      <c r="Q152" s="139">
        <v>45657</v>
      </c>
      <c r="R152" s="139">
        <v>-36804</v>
      </c>
      <c r="S152" s="146">
        <v>29781</v>
      </c>
      <c r="T152" s="139">
        <v>9059</v>
      </c>
      <c r="U152" s="160"/>
      <c r="W152" s="138">
        <v>-486</v>
      </c>
      <c r="X152" s="138">
        <v>118</v>
      </c>
      <c r="Y152" s="139">
        <v>1668</v>
      </c>
      <c r="Z152" s="138">
        <v>2307</v>
      </c>
      <c r="AA152" s="138">
        <v>354</v>
      </c>
      <c r="AB152" s="138">
        <v>59</v>
      </c>
      <c r="AC152" s="139">
        <v>-344</v>
      </c>
      <c r="AD152" s="138">
        <v>86</v>
      </c>
      <c r="AG152" s="139">
        <v>-258</v>
      </c>
      <c r="AH152" s="139">
        <v>1751</v>
      </c>
      <c r="AI152" s="139">
        <v>1013</v>
      </c>
      <c r="AJ152" s="176"/>
      <c r="AK152" s="138">
        <v>251</v>
      </c>
      <c r="AL152" s="151">
        <v>-1909</v>
      </c>
      <c r="AM152" s="151">
        <v>-3708</v>
      </c>
      <c r="AN152" s="146">
        <v>29781</v>
      </c>
      <c r="AO152" s="139">
        <v>26639</v>
      </c>
      <c r="AP152" s="139">
        <v>1730</v>
      </c>
      <c r="AQ152" s="139">
        <v>1412</v>
      </c>
      <c r="AR152" s="114">
        <v>17.5</v>
      </c>
      <c r="AS152" s="152"/>
      <c r="AT152" s="138">
        <v>219</v>
      </c>
      <c r="AU152" s="191">
        <v>9671</v>
      </c>
      <c r="AV152" s="146"/>
      <c r="AW152" s="150">
        <v>0.0015729453401494297</v>
      </c>
      <c r="AX152" s="150">
        <v>75.2</v>
      </c>
      <c r="AY152" s="151">
        <v>-3373</v>
      </c>
      <c r="AZ152" s="152"/>
      <c r="BA152" s="152"/>
      <c r="BB152" s="152"/>
      <c r="BC152" s="150">
        <v>36.7</v>
      </c>
      <c r="BD152" s="151">
        <v>189</v>
      </c>
      <c r="BE152" s="151">
        <v>12</v>
      </c>
      <c r="BF152" s="154">
        <v>5773.136180332954</v>
      </c>
      <c r="BG152" s="146">
        <v>17514</v>
      </c>
      <c r="BH152" s="139">
        <v>8162</v>
      </c>
      <c r="BI152" s="139">
        <v>50180</v>
      </c>
      <c r="BJ152" s="139">
        <v>-42018</v>
      </c>
      <c r="BK152" s="146">
        <v>32957</v>
      </c>
      <c r="BL152" s="146">
        <v>8935</v>
      </c>
      <c r="BM152" s="160"/>
      <c r="BO152" s="138">
        <v>-338</v>
      </c>
      <c r="BP152" s="138">
        <v>119</v>
      </c>
      <c r="BQ152" s="139">
        <v>-345</v>
      </c>
      <c r="BR152" s="138">
        <v>2315</v>
      </c>
      <c r="BS152" s="138">
        <v>12</v>
      </c>
      <c r="BU152" s="139">
        <v>-2648</v>
      </c>
      <c r="BV152" s="138">
        <v>86</v>
      </c>
      <c r="BY152" s="138">
        <v>-2562</v>
      </c>
      <c r="BZ152" s="139">
        <v>-812</v>
      </c>
      <c r="CA152" s="139">
        <v>-1202</v>
      </c>
      <c r="CB152" s="176"/>
      <c r="CC152" s="138">
        <v>655</v>
      </c>
      <c r="CD152" s="151">
        <v>-2194</v>
      </c>
      <c r="CE152" s="151">
        <v>-1992</v>
      </c>
      <c r="CF152" s="138">
        <v>32957</v>
      </c>
      <c r="CG152" s="139">
        <v>30042</v>
      </c>
      <c r="CH152" s="139">
        <v>1293</v>
      </c>
      <c r="CI152" s="139">
        <v>1622</v>
      </c>
      <c r="CJ152" s="114">
        <v>18.5</v>
      </c>
      <c r="CK152" s="152"/>
      <c r="CL152" s="138">
        <v>261</v>
      </c>
      <c r="CM152" s="190">
        <v>9729</v>
      </c>
      <c r="CN152" s="146"/>
      <c r="CO152" s="150">
        <v>0.3329140461215933</v>
      </c>
      <c r="CP152" s="150">
        <v>77.3119652419155</v>
      </c>
      <c r="CQ152" s="151">
        <v>-3705.725151608593</v>
      </c>
      <c r="CR152" s="152"/>
      <c r="CS152" s="152"/>
      <c r="CT152" s="152"/>
      <c r="CU152" s="150">
        <v>32.87295555922683</v>
      </c>
      <c r="CV152" s="151">
        <v>131.87377942234556</v>
      </c>
      <c r="CW152" s="151">
        <v>7.916138411346078</v>
      </c>
      <c r="CX152" s="154">
        <v>6080.4810360777055</v>
      </c>
      <c r="CY152" s="146">
        <v>16837</v>
      </c>
      <c r="CZ152" s="139">
        <v>8129</v>
      </c>
      <c r="DA152" s="139">
        <v>51737</v>
      </c>
      <c r="DB152" s="139">
        <v>-43608</v>
      </c>
      <c r="DC152" s="146">
        <v>34987</v>
      </c>
      <c r="DD152" s="146">
        <v>9361</v>
      </c>
      <c r="DE152" s="160"/>
      <c r="DG152" s="138">
        <v>-212</v>
      </c>
      <c r="DH152" s="138">
        <v>47</v>
      </c>
      <c r="DI152" s="139">
        <v>575</v>
      </c>
      <c r="DJ152" s="138">
        <v>2516</v>
      </c>
      <c r="DM152" s="139">
        <v>-1941</v>
      </c>
      <c r="DN152" s="138">
        <v>86</v>
      </c>
      <c r="DQ152" s="138">
        <v>-1855</v>
      </c>
      <c r="DR152" s="139">
        <v>-2667</v>
      </c>
      <c r="DS152" s="139">
        <v>-241</v>
      </c>
      <c r="DT152" s="176"/>
      <c r="DU152" s="138">
        <v>-36</v>
      </c>
      <c r="DV152" s="151">
        <v>-2166</v>
      </c>
      <c r="DW152" s="138">
        <v>-3343</v>
      </c>
      <c r="DX152" s="138">
        <v>34987</v>
      </c>
      <c r="DY152" s="146">
        <v>31830</v>
      </c>
      <c r="DZ152" s="196">
        <v>1468</v>
      </c>
      <c r="EA152" s="146">
        <v>1689</v>
      </c>
      <c r="EB152" s="114">
        <v>19</v>
      </c>
      <c r="EC152" s="152"/>
      <c r="ED152" s="138">
        <v>259</v>
      </c>
      <c r="EE152" s="138">
        <v>24166</v>
      </c>
      <c r="EF152" s="138">
        <v>26949</v>
      </c>
      <c r="EG152" s="138">
        <v>29365</v>
      </c>
      <c r="EH152" s="138"/>
      <c r="EI152" s="138"/>
      <c r="EJ152" s="138"/>
      <c r="EK152" s="3">
        <v>-7449</v>
      </c>
      <c r="EL152" s="138"/>
      <c r="EM152" s="138">
        <v>2728</v>
      </c>
      <c r="EN152" s="3">
        <v>-3104</v>
      </c>
      <c r="EO152" s="138">
        <v>134</v>
      </c>
      <c r="EP152" s="138">
        <v>2180</v>
      </c>
      <c r="EQ152" s="3">
        <v>-4937</v>
      </c>
      <c r="ER152" s="138">
        <v>756</v>
      </c>
      <c r="ES152" s="138">
        <v>1079</v>
      </c>
      <c r="ET152" s="163">
        <v>4168</v>
      </c>
      <c r="EU152" s="163">
        <v>1000</v>
      </c>
      <c r="EV152" s="138">
        <v>2000</v>
      </c>
      <c r="EW152" s="138">
        <v>1000</v>
      </c>
      <c r="EX152" s="138">
        <v>2000</v>
      </c>
      <c r="EY152" s="138">
        <v>2000</v>
      </c>
      <c r="EZ152" s="138">
        <v>28192</v>
      </c>
      <c r="FA152" s="138">
        <v>13998</v>
      </c>
      <c r="FB152" s="138">
        <v>14194</v>
      </c>
      <c r="FC152" s="138">
        <v>192</v>
      </c>
      <c r="FD152" s="138">
        <v>28998</v>
      </c>
      <c r="FE152" s="138">
        <v>13832</v>
      </c>
      <c r="FF152" s="138">
        <v>15166</v>
      </c>
      <c r="FG152" s="138">
        <v>192</v>
      </c>
      <c r="FH152" s="138">
        <v>30833</v>
      </c>
      <c r="FI152" s="138">
        <v>13373</v>
      </c>
      <c r="FJ152" s="138">
        <v>17460</v>
      </c>
      <c r="FK152" s="138">
        <v>192</v>
      </c>
      <c r="FL152" s="147">
        <v>3615</v>
      </c>
      <c r="FM152" s="147">
        <v>3740.46117257781</v>
      </c>
      <c r="FO152" s="181">
        <f t="shared" si="6"/>
        <v>1675.2631578947369</v>
      </c>
      <c r="FP152" s="179">
        <f t="shared" si="8"/>
        <v>172.19273901682976</v>
      </c>
      <c r="FR152" s="184"/>
      <c r="FV152" s="184">
        <v>1909</v>
      </c>
      <c r="FW152" s="2">
        <f t="shared" si="7"/>
        <v>-1909</v>
      </c>
    </row>
    <row r="153" spans="1:179" ht="12.75">
      <c r="A153" s="82">
        <v>483</v>
      </c>
      <c r="B153" s="80" t="s">
        <v>150</v>
      </c>
      <c r="C153" s="191">
        <v>1199</v>
      </c>
      <c r="D153" s="146"/>
      <c r="E153" s="150">
        <v>1.3097112860892388</v>
      </c>
      <c r="F153" s="150">
        <v>53.8</v>
      </c>
      <c r="G153" s="151">
        <v>-1425</v>
      </c>
      <c r="H153" s="152"/>
      <c r="I153" s="152"/>
      <c r="J153" s="152"/>
      <c r="K153" s="150">
        <v>61.2</v>
      </c>
      <c r="L153" s="151">
        <v>1882</v>
      </c>
      <c r="M153" s="151">
        <v>100</v>
      </c>
      <c r="N153" s="154">
        <v>9552.058111380145</v>
      </c>
      <c r="O153" s="146">
        <v>2019</v>
      </c>
      <c r="P153" s="139">
        <v>1387</v>
      </c>
      <c r="Q153" s="139">
        <v>7333</v>
      </c>
      <c r="R153" s="139">
        <v>-5946</v>
      </c>
      <c r="S153" s="146">
        <v>2487</v>
      </c>
      <c r="T153" s="139">
        <v>3956</v>
      </c>
      <c r="U153" s="160"/>
      <c r="W153" s="138">
        <v>-84</v>
      </c>
      <c r="X153" s="138">
        <v>78</v>
      </c>
      <c r="Y153" s="139">
        <v>491</v>
      </c>
      <c r="Z153" s="138">
        <v>341</v>
      </c>
      <c r="AA153" s="139"/>
      <c r="AC153" s="139">
        <v>150</v>
      </c>
      <c r="AD153" s="139"/>
      <c r="AG153" s="139">
        <v>150</v>
      </c>
      <c r="AH153" s="139">
        <v>2440</v>
      </c>
      <c r="AI153" s="139">
        <v>491</v>
      </c>
      <c r="AJ153" s="176"/>
      <c r="AK153" s="139">
        <v>-90</v>
      </c>
      <c r="AL153" s="151">
        <v>-373</v>
      </c>
      <c r="AM153" s="151">
        <v>194</v>
      </c>
      <c r="AN153" s="146">
        <v>2487</v>
      </c>
      <c r="AO153" s="139">
        <v>2258</v>
      </c>
      <c r="AP153" s="139">
        <v>117</v>
      </c>
      <c r="AQ153" s="139">
        <v>112</v>
      </c>
      <c r="AR153" s="114">
        <v>20</v>
      </c>
      <c r="AS153" s="152"/>
      <c r="AT153" s="138">
        <v>73</v>
      </c>
      <c r="AU153" s="191">
        <v>1176</v>
      </c>
      <c r="AV153" s="146"/>
      <c r="AW153" s="150">
        <v>1.2155172413793103</v>
      </c>
      <c r="AX153" s="150">
        <v>52.6</v>
      </c>
      <c r="AY153" s="151">
        <v>-1324</v>
      </c>
      <c r="AZ153" s="152"/>
      <c r="BA153" s="152"/>
      <c r="BB153" s="152"/>
      <c r="BC153" s="150">
        <v>62.5</v>
      </c>
      <c r="BD153" s="151">
        <v>2063</v>
      </c>
      <c r="BE153" s="151">
        <v>104</v>
      </c>
      <c r="BF153" s="154">
        <v>7253.401360544218</v>
      </c>
      <c r="BG153" s="146">
        <v>2064</v>
      </c>
      <c r="BH153" s="139">
        <v>1472</v>
      </c>
      <c r="BI153" s="139">
        <v>7447</v>
      </c>
      <c r="BJ153" s="139">
        <v>-5975</v>
      </c>
      <c r="BK153" s="146">
        <v>2406</v>
      </c>
      <c r="BL153" s="146">
        <v>4049</v>
      </c>
      <c r="BM153" s="160"/>
      <c r="BO153" s="138">
        <v>-74</v>
      </c>
      <c r="BP153" s="138">
        <v>83</v>
      </c>
      <c r="BQ153" s="139">
        <v>489</v>
      </c>
      <c r="BR153" s="138">
        <v>330</v>
      </c>
      <c r="BS153" s="139"/>
      <c r="BU153" s="139">
        <v>159</v>
      </c>
      <c r="BV153" s="139"/>
      <c r="BY153" s="138">
        <v>159</v>
      </c>
      <c r="BZ153" s="139">
        <v>2746</v>
      </c>
      <c r="CA153" s="139">
        <v>485</v>
      </c>
      <c r="CB153" s="176"/>
      <c r="CC153" s="139">
        <v>61</v>
      </c>
      <c r="CD153" s="151">
        <v>-389</v>
      </c>
      <c r="CE153" s="151">
        <v>116</v>
      </c>
      <c r="CF153" s="138">
        <v>2406</v>
      </c>
      <c r="CG153" s="139">
        <v>2226</v>
      </c>
      <c r="CH153" s="139">
        <v>67</v>
      </c>
      <c r="CI153" s="139">
        <v>113</v>
      </c>
      <c r="CJ153" s="114">
        <v>20.5</v>
      </c>
      <c r="CK153" s="152"/>
      <c r="CL153" s="138">
        <v>37</v>
      </c>
      <c r="CM153" s="190">
        <v>1153</v>
      </c>
      <c r="CN153" s="146"/>
      <c r="CO153" s="150">
        <v>1.3589164785553047</v>
      </c>
      <c r="CP153" s="150">
        <v>50.97727827999023</v>
      </c>
      <c r="CQ153" s="151">
        <v>-1168.256721595837</v>
      </c>
      <c r="CR153" s="152"/>
      <c r="CS153" s="152"/>
      <c r="CT153" s="152"/>
      <c r="CU153" s="150">
        <v>63.22375958403102</v>
      </c>
      <c r="CV153" s="151">
        <v>2333.04423243712</v>
      </c>
      <c r="CW153" s="151">
        <v>114.87656487656487</v>
      </c>
      <c r="CX153" s="154">
        <v>7412.836079791848</v>
      </c>
      <c r="CY153" s="146">
        <v>2141</v>
      </c>
      <c r="CZ153" s="139">
        <v>1397</v>
      </c>
      <c r="DA153" s="139">
        <v>7756</v>
      </c>
      <c r="DB153" s="139">
        <v>-6359</v>
      </c>
      <c r="DC153" s="146">
        <v>2614</v>
      </c>
      <c r="DD153" s="146">
        <v>4179</v>
      </c>
      <c r="DE153" s="160"/>
      <c r="DG153" s="138">
        <v>-42</v>
      </c>
      <c r="DH153" s="138">
        <v>167</v>
      </c>
      <c r="DI153" s="139">
        <v>559</v>
      </c>
      <c r="DJ153" s="138">
        <v>326</v>
      </c>
      <c r="DK153" s="139"/>
      <c r="DM153" s="139">
        <v>233</v>
      </c>
      <c r="DN153" s="139"/>
      <c r="DQ153" s="138">
        <v>233</v>
      </c>
      <c r="DR153" s="139">
        <v>2978</v>
      </c>
      <c r="DS153" s="139">
        <v>559</v>
      </c>
      <c r="DT153" s="176"/>
      <c r="DU153" s="139">
        <v>48</v>
      </c>
      <c r="DV153" s="151">
        <v>-400</v>
      </c>
      <c r="DW153" s="138">
        <v>215</v>
      </c>
      <c r="DX153" s="138">
        <v>2614</v>
      </c>
      <c r="DY153" s="146">
        <v>2421</v>
      </c>
      <c r="DZ153" s="196">
        <v>73</v>
      </c>
      <c r="EA153" s="146">
        <v>120</v>
      </c>
      <c r="EB153" s="114">
        <v>21</v>
      </c>
      <c r="EC153" s="152"/>
      <c r="ED153" s="138">
        <v>61</v>
      </c>
      <c r="EE153" s="138">
        <v>4178</v>
      </c>
      <c r="EF153" s="138">
        <v>4167</v>
      </c>
      <c r="EG153" s="138">
        <v>4442</v>
      </c>
      <c r="EH153" s="138"/>
      <c r="EI153" s="138"/>
      <c r="EJ153" s="138"/>
      <c r="EK153" s="3">
        <v>-306</v>
      </c>
      <c r="EL153" s="138"/>
      <c r="EM153" s="138">
        <v>9</v>
      </c>
      <c r="EN153" s="3">
        <v>-601</v>
      </c>
      <c r="EO153" s="138"/>
      <c r="EP153" s="138">
        <v>232</v>
      </c>
      <c r="EQ153" s="3">
        <v>-344</v>
      </c>
      <c r="ET153" s="163">
        <v>200</v>
      </c>
      <c r="EU153" s="163">
        <v>56</v>
      </c>
      <c r="EV153" s="138">
        <v>300</v>
      </c>
      <c r="EW153" s="138">
        <v>-27</v>
      </c>
      <c r="EX153" s="138">
        <v>300</v>
      </c>
      <c r="EY153" s="138">
        <v>11</v>
      </c>
      <c r="EZ153" s="138">
        <v>3218</v>
      </c>
      <c r="FA153" s="138">
        <v>2402</v>
      </c>
      <c r="FB153" s="138">
        <v>816</v>
      </c>
      <c r="FC153" s="138">
        <v>122</v>
      </c>
      <c r="FD153" s="138">
        <v>3102</v>
      </c>
      <c r="FE153" s="138">
        <v>2312</v>
      </c>
      <c r="FF153" s="138">
        <v>790</v>
      </c>
      <c r="FG153" s="138">
        <v>78</v>
      </c>
      <c r="FH153" s="138">
        <v>3013</v>
      </c>
      <c r="FI153" s="138">
        <v>2213</v>
      </c>
      <c r="FJ153" s="138">
        <v>800</v>
      </c>
      <c r="FK153" s="138">
        <v>78</v>
      </c>
      <c r="FL153" s="147">
        <v>3088</v>
      </c>
      <c r="FM153" s="147">
        <v>3055.2721088435374</v>
      </c>
      <c r="FO153" s="181">
        <f t="shared" si="6"/>
        <v>115.28571428571429</v>
      </c>
      <c r="FP153" s="179">
        <f t="shared" si="8"/>
        <v>99.98760996159088</v>
      </c>
      <c r="FR153" s="184"/>
      <c r="FV153" s="184">
        <v>373</v>
      </c>
      <c r="FW153" s="2">
        <f t="shared" si="7"/>
        <v>-373</v>
      </c>
    </row>
    <row r="154" spans="1:179" ht="12.75">
      <c r="A154" s="82">
        <v>484</v>
      </c>
      <c r="B154" s="80" t="s">
        <v>151</v>
      </c>
      <c r="C154" s="191">
        <v>3304</v>
      </c>
      <c r="D154" s="146"/>
      <c r="E154" s="150">
        <v>1.1862130707251566</v>
      </c>
      <c r="F154" s="150">
        <v>18.8</v>
      </c>
      <c r="G154" s="151">
        <v>-257</v>
      </c>
      <c r="H154" s="152"/>
      <c r="I154" s="152"/>
      <c r="J154" s="152"/>
      <c r="K154" s="150">
        <v>80.4</v>
      </c>
      <c r="L154" s="151">
        <v>702</v>
      </c>
      <c r="M154" s="151">
        <v>37</v>
      </c>
      <c r="N154" s="154">
        <v>10559.243891194099</v>
      </c>
      <c r="O154" s="146">
        <v>6487</v>
      </c>
      <c r="P154" s="139">
        <v>3102</v>
      </c>
      <c r="Q154" s="139">
        <v>21775</v>
      </c>
      <c r="R154" s="139">
        <v>-18673</v>
      </c>
      <c r="S154" s="146">
        <v>8406</v>
      </c>
      <c r="T154" s="139">
        <v>11156</v>
      </c>
      <c r="U154" s="160"/>
      <c r="W154" s="138">
        <v>-19</v>
      </c>
      <c r="X154" s="138">
        <v>76</v>
      </c>
      <c r="Y154" s="139">
        <v>946</v>
      </c>
      <c r="Z154" s="138">
        <v>1028</v>
      </c>
      <c r="AC154" s="139">
        <v>-82</v>
      </c>
      <c r="AD154" s="139"/>
      <c r="AG154" s="139">
        <v>-82</v>
      </c>
      <c r="AH154" s="139">
        <v>4942</v>
      </c>
      <c r="AI154" s="139">
        <v>672</v>
      </c>
      <c r="AJ154" s="176"/>
      <c r="AK154" s="139">
        <v>-184</v>
      </c>
      <c r="AL154" s="151">
        <v>-322</v>
      </c>
      <c r="AM154" s="151">
        <v>134</v>
      </c>
      <c r="AN154" s="146">
        <v>8406</v>
      </c>
      <c r="AO154" s="139">
        <v>7043</v>
      </c>
      <c r="AP154" s="139">
        <v>690</v>
      </c>
      <c r="AQ154" s="139">
        <v>673</v>
      </c>
      <c r="AR154" s="114">
        <v>19.5</v>
      </c>
      <c r="AS154" s="152"/>
      <c r="AT154" s="138">
        <v>133</v>
      </c>
      <c r="AU154" s="191">
        <v>3269</v>
      </c>
      <c r="AV154" s="146"/>
      <c r="AW154" s="150">
        <v>1.2857142857142858</v>
      </c>
      <c r="AX154" s="150">
        <v>15.8</v>
      </c>
      <c r="AY154" s="151">
        <v>-522</v>
      </c>
      <c r="AZ154" s="152"/>
      <c r="BA154" s="152"/>
      <c r="BB154" s="152"/>
      <c r="BC154" s="150">
        <v>83.2</v>
      </c>
      <c r="BD154" s="151">
        <v>113</v>
      </c>
      <c r="BE154" s="151">
        <v>5</v>
      </c>
      <c r="BF154" s="154">
        <v>7895.074946466809</v>
      </c>
      <c r="BG154" s="146">
        <v>6576</v>
      </c>
      <c r="BH154" s="139">
        <v>3477</v>
      </c>
      <c r="BI154" s="139">
        <v>23646</v>
      </c>
      <c r="BJ154" s="139">
        <v>-20169</v>
      </c>
      <c r="BK154" s="146">
        <v>8332</v>
      </c>
      <c r="BL154" s="146">
        <v>12085</v>
      </c>
      <c r="BM154" s="160"/>
      <c r="BO154" s="138">
        <v>-20</v>
      </c>
      <c r="BP154" s="138">
        <v>52</v>
      </c>
      <c r="BQ154" s="139">
        <v>280</v>
      </c>
      <c r="BR154" s="138">
        <v>1060</v>
      </c>
      <c r="BS154" s="138">
        <v>316</v>
      </c>
      <c r="BU154" s="139">
        <v>-464</v>
      </c>
      <c r="BV154" s="139"/>
      <c r="BY154" s="138">
        <v>-464</v>
      </c>
      <c r="BZ154" s="139">
        <v>4681</v>
      </c>
      <c r="CA154" s="139">
        <v>232</v>
      </c>
      <c r="CB154" s="176"/>
      <c r="CC154" s="139">
        <v>-593</v>
      </c>
      <c r="CD154" s="151">
        <v>-210</v>
      </c>
      <c r="CE154" s="151">
        <v>-1066</v>
      </c>
      <c r="CF154" s="138">
        <v>8332</v>
      </c>
      <c r="CG154" s="139">
        <v>7238</v>
      </c>
      <c r="CH154" s="139">
        <v>437</v>
      </c>
      <c r="CI154" s="139">
        <v>657</v>
      </c>
      <c r="CJ154" s="114">
        <v>19.5</v>
      </c>
      <c r="CK154" s="152"/>
      <c r="CL154" s="138">
        <v>199</v>
      </c>
      <c r="CM154" s="190">
        <v>3226</v>
      </c>
      <c r="CN154" s="146"/>
      <c r="CO154" s="150">
        <v>6.926829268292683</v>
      </c>
      <c r="CP154" s="150">
        <v>17.291585127201564</v>
      </c>
      <c r="CQ154" s="151">
        <v>-392.1264724116553</v>
      </c>
      <c r="CR154" s="152"/>
      <c r="CS154" s="152"/>
      <c r="CT154" s="152"/>
      <c r="CU154" s="150">
        <v>81.99300699300699</v>
      </c>
      <c r="CV154" s="151">
        <v>597.334159950403</v>
      </c>
      <c r="CW154" s="151">
        <v>27.383881642982285</v>
      </c>
      <c r="CX154" s="154">
        <v>7961.872287662741</v>
      </c>
      <c r="CY154" s="146">
        <v>6818</v>
      </c>
      <c r="CZ154" s="139">
        <v>3589</v>
      </c>
      <c r="DA154" s="139">
        <v>23046</v>
      </c>
      <c r="DB154" s="139">
        <v>-19457</v>
      </c>
      <c r="DC154" s="146">
        <v>9162</v>
      </c>
      <c r="DD154" s="146">
        <v>12799</v>
      </c>
      <c r="DE154" s="160"/>
      <c r="DG154" s="138">
        <v>-20</v>
      </c>
      <c r="DH154" s="138">
        <v>41</v>
      </c>
      <c r="DI154" s="139">
        <v>2525</v>
      </c>
      <c r="DJ154" s="138">
        <v>1046</v>
      </c>
      <c r="DM154" s="139">
        <v>1479</v>
      </c>
      <c r="DN154" s="139"/>
      <c r="DQ154" s="138">
        <v>1479</v>
      </c>
      <c r="DR154" s="139">
        <v>6161</v>
      </c>
      <c r="DS154" s="139">
        <v>2453</v>
      </c>
      <c r="DT154" s="176"/>
      <c r="DU154" s="139">
        <v>476</v>
      </c>
      <c r="DV154" s="151">
        <v>-338</v>
      </c>
      <c r="DW154" s="138">
        <v>431</v>
      </c>
      <c r="DX154" s="138">
        <v>9162</v>
      </c>
      <c r="DY154" s="146">
        <v>7956</v>
      </c>
      <c r="DZ154" s="196">
        <v>487</v>
      </c>
      <c r="EA154" s="146">
        <v>719</v>
      </c>
      <c r="EB154" s="114">
        <v>19.5</v>
      </c>
      <c r="EC154" s="152"/>
      <c r="ED154" s="138">
        <v>12</v>
      </c>
      <c r="EE154" s="138">
        <v>12999</v>
      </c>
      <c r="EF154" s="138">
        <v>14708</v>
      </c>
      <c r="EG154" s="138">
        <v>13848</v>
      </c>
      <c r="EH154" s="138"/>
      <c r="EI154" s="138"/>
      <c r="EJ154" s="138"/>
      <c r="EK154" s="3">
        <v>-775</v>
      </c>
      <c r="EL154" s="138">
        <v>140</v>
      </c>
      <c r="EM154" s="138">
        <v>97</v>
      </c>
      <c r="EN154" s="3">
        <v>-1918</v>
      </c>
      <c r="EO154" s="138">
        <v>520</v>
      </c>
      <c r="EP154" s="138">
        <v>99</v>
      </c>
      <c r="EQ154" s="3">
        <v>-2270</v>
      </c>
      <c r="ER154" s="138">
        <v>175</v>
      </c>
      <c r="ES154" s="138">
        <v>73</v>
      </c>
      <c r="ET154" s="163"/>
      <c r="EU154" s="163"/>
      <c r="EV154" s="138"/>
      <c r="EW154" s="138">
        <v>-113</v>
      </c>
      <c r="EX154" s="138">
        <v>1000</v>
      </c>
      <c r="EY154" s="138">
        <v>66</v>
      </c>
      <c r="EZ154" s="138">
        <v>1577</v>
      </c>
      <c r="FA154" s="138">
        <v>1254</v>
      </c>
      <c r="FB154" s="138">
        <v>323</v>
      </c>
      <c r="FC154" s="138">
        <v>221</v>
      </c>
      <c r="FD154" s="138">
        <v>1254</v>
      </c>
      <c r="FE154" s="138">
        <v>1044</v>
      </c>
      <c r="FF154" s="138">
        <v>210</v>
      </c>
      <c r="FG154" s="138">
        <v>220</v>
      </c>
      <c r="FH154" s="138">
        <v>1981</v>
      </c>
      <c r="FI154" s="138">
        <v>1706</v>
      </c>
      <c r="FJ154" s="138">
        <v>275</v>
      </c>
      <c r="FK154" s="138">
        <v>211</v>
      </c>
      <c r="FL154" s="147">
        <v>1041</v>
      </c>
      <c r="FM154" s="147">
        <v>898.1339859284184</v>
      </c>
      <c r="FO154" s="181">
        <f t="shared" si="6"/>
        <v>408</v>
      </c>
      <c r="FP154" s="179">
        <f t="shared" si="8"/>
        <v>126.47241165530068</v>
      </c>
      <c r="FR154" s="184"/>
      <c r="FV154" s="184">
        <v>322</v>
      </c>
      <c r="FW154" s="2">
        <f t="shared" si="7"/>
        <v>-322</v>
      </c>
    </row>
    <row r="155" spans="1:179" ht="12.75">
      <c r="A155" s="82">
        <v>489</v>
      </c>
      <c r="B155" s="80" t="s">
        <v>152</v>
      </c>
      <c r="C155" s="191">
        <v>2169</v>
      </c>
      <c r="D155" s="146"/>
      <c r="E155" s="150">
        <v>1.5087064676616915</v>
      </c>
      <c r="F155" s="150">
        <v>14</v>
      </c>
      <c r="G155" s="151">
        <v>485</v>
      </c>
      <c r="H155" s="152"/>
      <c r="I155" s="152"/>
      <c r="J155" s="152"/>
      <c r="K155" s="150">
        <v>80.7</v>
      </c>
      <c r="L155" s="151">
        <v>1548</v>
      </c>
      <c r="M155" s="151">
        <v>54</v>
      </c>
      <c r="N155" s="154">
        <v>6373.36168646615</v>
      </c>
      <c r="O155" s="146">
        <v>8502</v>
      </c>
      <c r="P155" s="139">
        <v>10328</v>
      </c>
      <c r="Q155" s="139">
        <v>21904</v>
      </c>
      <c r="R155" s="139">
        <v>-11576</v>
      </c>
      <c r="S155" s="146">
        <v>5191</v>
      </c>
      <c r="T155" s="139">
        <v>6787</v>
      </c>
      <c r="U155" s="160"/>
      <c r="W155" s="138">
        <v>3</v>
      </c>
      <c r="X155" s="138">
        <v>109</v>
      </c>
      <c r="Y155" s="139">
        <v>514</v>
      </c>
      <c r="Z155" s="138">
        <v>428</v>
      </c>
      <c r="AB155" s="138">
        <v>441</v>
      </c>
      <c r="AC155" s="139">
        <v>-355</v>
      </c>
      <c r="AG155" s="139">
        <v>-355</v>
      </c>
      <c r="AH155" s="139">
        <v>3653</v>
      </c>
      <c r="AI155" s="139">
        <v>20</v>
      </c>
      <c r="AJ155" s="176"/>
      <c r="AK155" s="139">
        <v>211</v>
      </c>
      <c r="AL155" s="151">
        <v>-105</v>
      </c>
      <c r="AM155" s="151">
        <v>-471</v>
      </c>
      <c r="AN155" s="146">
        <v>5191</v>
      </c>
      <c r="AO155" s="139">
        <v>4211</v>
      </c>
      <c r="AP155" s="139">
        <v>689</v>
      </c>
      <c r="AQ155" s="139">
        <v>291</v>
      </c>
      <c r="AR155" s="114">
        <v>19.5</v>
      </c>
      <c r="AS155" s="152"/>
      <c r="AT155" s="138">
        <v>170</v>
      </c>
      <c r="AU155" s="191">
        <v>2177</v>
      </c>
      <c r="AV155" s="146"/>
      <c r="AW155" s="150">
        <v>2.72972972972973</v>
      </c>
      <c r="AX155" s="150">
        <v>17.3</v>
      </c>
      <c r="AY155" s="151">
        <v>315</v>
      </c>
      <c r="AZ155" s="152"/>
      <c r="BA155" s="152"/>
      <c r="BB155" s="152"/>
      <c r="BC155" s="150">
        <v>76.3</v>
      </c>
      <c r="BD155" s="151">
        <v>1834</v>
      </c>
      <c r="BE155" s="151">
        <v>59</v>
      </c>
      <c r="BF155" s="154">
        <v>11315.112540192926</v>
      </c>
      <c r="BG155" s="146">
        <v>9072</v>
      </c>
      <c r="BH155" s="139">
        <v>10906</v>
      </c>
      <c r="BI155" s="139">
        <v>23153</v>
      </c>
      <c r="BJ155" s="139">
        <v>-12247</v>
      </c>
      <c r="BK155" s="146">
        <v>5385</v>
      </c>
      <c r="BL155" s="146">
        <v>7108</v>
      </c>
      <c r="BM155" s="160"/>
      <c r="BO155" s="138">
        <v>6</v>
      </c>
      <c r="BP155" s="138">
        <v>45</v>
      </c>
      <c r="BQ155" s="139">
        <v>297</v>
      </c>
      <c r="BR155" s="138">
        <v>410</v>
      </c>
      <c r="BU155" s="139">
        <v>-113</v>
      </c>
      <c r="BY155" s="138">
        <v>-113</v>
      </c>
      <c r="BZ155" s="139">
        <v>3541</v>
      </c>
      <c r="CA155" s="139">
        <v>551</v>
      </c>
      <c r="CB155" s="176"/>
      <c r="CC155" s="139">
        <v>63</v>
      </c>
      <c r="CD155" s="151">
        <v>-105</v>
      </c>
      <c r="CE155" s="151">
        <v>-325</v>
      </c>
      <c r="CF155" s="138">
        <v>5385</v>
      </c>
      <c r="CG155" s="139">
        <v>4670</v>
      </c>
      <c r="CH155" s="139">
        <v>399</v>
      </c>
      <c r="CI155" s="139">
        <v>316</v>
      </c>
      <c r="CJ155" s="114">
        <v>19.5</v>
      </c>
      <c r="CK155" s="152"/>
      <c r="CL155" s="138">
        <v>164</v>
      </c>
      <c r="CM155" s="190">
        <v>2145</v>
      </c>
      <c r="CN155" s="146"/>
      <c r="CO155" s="150">
        <v>4.510948905109489</v>
      </c>
      <c r="CP155" s="150">
        <v>23.130831257651877</v>
      </c>
      <c r="CQ155" s="151">
        <v>-923.0769230769231</v>
      </c>
      <c r="CR155" s="152"/>
      <c r="CS155" s="152"/>
      <c r="CT155" s="152"/>
      <c r="CU155" s="150">
        <v>70.51064731433415</v>
      </c>
      <c r="CV155" s="151">
        <v>1263.4032634032635</v>
      </c>
      <c r="CW155" s="151">
        <v>36.68137654824594</v>
      </c>
      <c r="CX155" s="154">
        <v>12571.561771561772</v>
      </c>
      <c r="CY155" s="146">
        <v>9109</v>
      </c>
      <c r="CZ155" s="139">
        <v>11071</v>
      </c>
      <c r="DA155" s="139">
        <v>23408</v>
      </c>
      <c r="DB155" s="139">
        <v>-12337</v>
      </c>
      <c r="DC155" s="146">
        <v>5533</v>
      </c>
      <c r="DD155" s="146">
        <v>7083</v>
      </c>
      <c r="DE155" s="160"/>
      <c r="DG155" s="138">
        <v>-12</v>
      </c>
      <c r="DH155" s="138">
        <v>329</v>
      </c>
      <c r="DI155" s="139">
        <v>596</v>
      </c>
      <c r="DJ155" s="138">
        <v>615</v>
      </c>
      <c r="DM155" s="139">
        <v>-19</v>
      </c>
      <c r="DQ155" s="138">
        <v>-19</v>
      </c>
      <c r="DR155" s="139">
        <v>3521</v>
      </c>
      <c r="DS155" s="139">
        <v>588</v>
      </c>
      <c r="DT155" s="176"/>
      <c r="DU155" s="139">
        <v>-44</v>
      </c>
      <c r="DV155" s="151">
        <v>-114</v>
      </c>
      <c r="DW155" s="138">
        <v>-2626</v>
      </c>
      <c r="DX155" s="138">
        <v>5533</v>
      </c>
      <c r="DY155" s="146">
        <v>4697</v>
      </c>
      <c r="DZ155" s="196">
        <v>503</v>
      </c>
      <c r="EA155" s="146">
        <v>333</v>
      </c>
      <c r="EB155" s="114">
        <v>19.5</v>
      </c>
      <c r="EC155" s="152"/>
      <c r="ED155" s="138">
        <v>157</v>
      </c>
      <c r="EE155" s="138">
        <v>10630</v>
      </c>
      <c r="EF155" s="138">
        <v>10927</v>
      </c>
      <c r="EG155" s="138">
        <v>11438</v>
      </c>
      <c r="EH155" s="138"/>
      <c r="EI155" s="138"/>
      <c r="EJ155" s="138"/>
      <c r="EK155" s="3">
        <v>-705</v>
      </c>
      <c r="EL155" s="138">
        <v>37</v>
      </c>
      <c r="EM155" s="138">
        <v>177</v>
      </c>
      <c r="EN155" s="3">
        <v>-1366</v>
      </c>
      <c r="EO155" s="138"/>
      <c r="EP155" s="138">
        <v>490</v>
      </c>
      <c r="EQ155" s="3">
        <v>-3380</v>
      </c>
      <c r="ER155" s="138">
        <v>134</v>
      </c>
      <c r="ES155" s="138">
        <v>32</v>
      </c>
      <c r="ET155" s="163"/>
      <c r="EU155" s="163"/>
      <c r="EV155" s="138">
        <v>706</v>
      </c>
      <c r="EW155" s="138"/>
      <c r="EX155" s="138">
        <v>1894</v>
      </c>
      <c r="EY155" s="138"/>
      <c r="EZ155" s="138">
        <v>158</v>
      </c>
      <c r="FA155" s="138">
        <v>53</v>
      </c>
      <c r="FB155" s="138">
        <v>105</v>
      </c>
      <c r="FC155" s="138">
        <v>337</v>
      </c>
      <c r="FD155" s="138">
        <v>759</v>
      </c>
      <c r="FE155" s="138">
        <v>645</v>
      </c>
      <c r="FF155" s="138">
        <v>114</v>
      </c>
      <c r="FG155" s="138">
        <v>339</v>
      </c>
      <c r="FH155" s="138">
        <v>2539</v>
      </c>
      <c r="FI155" s="138">
        <v>2313</v>
      </c>
      <c r="FJ155" s="138">
        <v>226</v>
      </c>
      <c r="FK155" s="138">
        <v>378</v>
      </c>
      <c r="FL155" s="147">
        <v>1136</v>
      </c>
      <c r="FM155" s="147">
        <v>1321.5434083601285</v>
      </c>
      <c r="FO155" s="181">
        <f t="shared" si="6"/>
        <v>240.87179487179486</v>
      </c>
      <c r="FP155" s="179">
        <f t="shared" si="8"/>
        <v>112.29454306377383</v>
      </c>
      <c r="FR155" s="184"/>
      <c r="FV155" s="184">
        <v>105</v>
      </c>
      <c r="FW155" s="2">
        <f t="shared" si="7"/>
        <v>-105</v>
      </c>
    </row>
    <row r="156" spans="1:179" ht="12.75">
      <c r="A156" s="82">
        <v>491</v>
      </c>
      <c r="B156" s="80" t="s">
        <v>153</v>
      </c>
      <c r="C156" s="191">
        <v>48907</v>
      </c>
      <c r="D156" s="146"/>
      <c r="E156" s="150">
        <v>0.5923083556092092</v>
      </c>
      <c r="F156" s="150">
        <v>66.8</v>
      </c>
      <c r="G156" s="151">
        <v>-3480</v>
      </c>
      <c r="H156" s="152"/>
      <c r="I156" s="152"/>
      <c r="J156" s="152"/>
      <c r="K156" s="150">
        <v>49.6</v>
      </c>
      <c r="L156" s="151">
        <v>320</v>
      </c>
      <c r="M156" s="151">
        <v>15</v>
      </c>
      <c r="N156" s="154">
        <v>7853.631159501628</v>
      </c>
      <c r="O156" s="146">
        <v>130771</v>
      </c>
      <c r="P156" s="139">
        <v>81211</v>
      </c>
      <c r="Q156" s="139">
        <v>306853</v>
      </c>
      <c r="R156" s="139">
        <v>-225642</v>
      </c>
      <c r="S156" s="146">
        <v>155038</v>
      </c>
      <c r="T156" s="139">
        <v>81231</v>
      </c>
      <c r="U156" s="160"/>
      <c r="W156" s="138">
        <v>-764</v>
      </c>
      <c r="X156" s="138">
        <v>3808</v>
      </c>
      <c r="Y156" s="139">
        <v>13671</v>
      </c>
      <c r="Z156" s="138">
        <v>14632</v>
      </c>
      <c r="AC156" s="139">
        <v>-961</v>
      </c>
      <c r="AD156" s="139">
        <v>274</v>
      </c>
      <c r="AE156" s="138">
        <v>2800</v>
      </c>
      <c r="AG156" s="139">
        <v>2113</v>
      </c>
      <c r="AH156" s="139">
        <v>8263</v>
      </c>
      <c r="AI156" s="139">
        <v>11750</v>
      </c>
      <c r="AJ156" s="176"/>
      <c r="AK156" s="138">
        <v>79</v>
      </c>
      <c r="AL156" s="151">
        <v>-23127</v>
      </c>
      <c r="AM156" s="151">
        <v>-12497</v>
      </c>
      <c r="AN156" s="146">
        <v>155038</v>
      </c>
      <c r="AO156" s="139">
        <v>135377</v>
      </c>
      <c r="AP156" s="139">
        <v>9648</v>
      </c>
      <c r="AQ156" s="139">
        <v>10013</v>
      </c>
      <c r="AR156" s="114">
        <v>19.5</v>
      </c>
      <c r="AS156" s="152"/>
      <c r="AT156" s="138">
        <v>139</v>
      </c>
      <c r="AU156" s="191">
        <v>48972</v>
      </c>
      <c r="AV156" s="146"/>
      <c r="AW156" s="150">
        <v>0.6857565438723214</v>
      </c>
      <c r="AX156" s="150">
        <v>59.2</v>
      </c>
      <c r="AY156" s="151">
        <v>-3424</v>
      </c>
      <c r="AZ156" s="152"/>
      <c r="BA156" s="152"/>
      <c r="BB156" s="152"/>
      <c r="BC156" s="150">
        <v>51.1</v>
      </c>
      <c r="BD156" s="151">
        <v>2</v>
      </c>
      <c r="BE156" s="151">
        <v>0</v>
      </c>
      <c r="BF156" s="154">
        <v>8200.686106346482</v>
      </c>
      <c r="BG156" s="146">
        <v>139915</v>
      </c>
      <c r="BH156" s="139">
        <v>100484</v>
      </c>
      <c r="BI156" s="139">
        <v>335879</v>
      </c>
      <c r="BJ156" s="139">
        <v>-235395</v>
      </c>
      <c r="BK156" s="146">
        <v>158222</v>
      </c>
      <c r="BL156" s="146">
        <v>86341</v>
      </c>
      <c r="BM156" s="160"/>
      <c r="BO156" s="138">
        <v>-72</v>
      </c>
      <c r="BP156" s="138">
        <v>8581</v>
      </c>
      <c r="BQ156" s="139">
        <v>17677</v>
      </c>
      <c r="BR156" s="138">
        <v>17369</v>
      </c>
      <c r="BS156" s="138">
        <v>5504</v>
      </c>
      <c r="BU156" s="139">
        <v>5812</v>
      </c>
      <c r="BV156" s="139">
        <v>-30</v>
      </c>
      <c r="BW156" s="138">
        <v>-1000</v>
      </c>
      <c r="BY156" s="138">
        <v>4782</v>
      </c>
      <c r="BZ156" s="139">
        <v>13044</v>
      </c>
      <c r="CA156" s="139">
        <v>13610</v>
      </c>
      <c r="CB156" s="176"/>
      <c r="CC156" s="138">
        <v>-10409</v>
      </c>
      <c r="CD156" s="151">
        <v>-26813</v>
      </c>
      <c r="CE156" s="151">
        <v>1944</v>
      </c>
      <c r="CF156" s="138">
        <v>158222</v>
      </c>
      <c r="CG156" s="139">
        <v>140378</v>
      </c>
      <c r="CH156" s="139">
        <v>6894</v>
      </c>
      <c r="CI156" s="139">
        <v>10950</v>
      </c>
      <c r="CJ156" s="114">
        <v>19.5</v>
      </c>
      <c r="CK156" s="152"/>
      <c r="CL156" s="138">
        <v>48</v>
      </c>
      <c r="CM156" s="190">
        <v>54635</v>
      </c>
      <c r="CN156" s="146"/>
      <c r="CO156" s="150">
        <v>0.5862507005417523</v>
      </c>
      <c r="CP156" s="150">
        <v>57.245793746582905</v>
      </c>
      <c r="CQ156" s="151">
        <v>-3585.284158506452</v>
      </c>
      <c r="CR156" s="152"/>
      <c r="CS156" s="152"/>
      <c r="CT156" s="152"/>
      <c r="CU156" s="150">
        <v>49.5067318293849</v>
      </c>
      <c r="CV156" s="151">
        <v>1.8120252585339067</v>
      </c>
      <c r="CW156" s="151">
        <v>0.08270771343556878</v>
      </c>
      <c r="CX156" s="154">
        <v>7996.705408620848</v>
      </c>
      <c r="CY156" s="146">
        <v>156945</v>
      </c>
      <c r="CZ156" s="139">
        <v>100404</v>
      </c>
      <c r="DA156" s="139">
        <v>377595</v>
      </c>
      <c r="DB156" s="139">
        <v>-277191</v>
      </c>
      <c r="DC156" s="146">
        <v>187364</v>
      </c>
      <c r="DD156" s="146">
        <v>100524</v>
      </c>
      <c r="DE156" s="160"/>
      <c r="DG156" s="138">
        <v>825</v>
      </c>
      <c r="DH156" s="138">
        <v>2829</v>
      </c>
      <c r="DI156" s="139">
        <v>14351</v>
      </c>
      <c r="DJ156" s="138">
        <v>19311</v>
      </c>
      <c r="DM156" s="139">
        <v>-4960</v>
      </c>
      <c r="DN156" s="139">
        <v>-103</v>
      </c>
      <c r="DO156" s="138">
        <v>-50</v>
      </c>
      <c r="DQ156" s="138">
        <v>-5113</v>
      </c>
      <c r="DR156" s="139">
        <v>8665</v>
      </c>
      <c r="DS156" s="139">
        <v>11257</v>
      </c>
      <c r="DT156" s="176"/>
      <c r="DU156" s="138">
        <v>11369</v>
      </c>
      <c r="DV156" s="151">
        <v>-25425</v>
      </c>
      <c r="DW156" s="138">
        <v>-15744</v>
      </c>
      <c r="DX156" s="138">
        <v>187364</v>
      </c>
      <c r="DY156" s="146">
        <v>163465</v>
      </c>
      <c r="DZ156" s="196">
        <v>9215</v>
      </c>
      <c r="EA156" s="146">
        <v>14684</v>
      </c>
      <c r="EB156" s="114">
        <v>19.75</v>
      </c>
      <c r="EC156" s="152"/>
      <c r="ED156" s="138">
        <v>163</v>
      </c>
      <c r="EE156" s="138">
        <v>133361</v>
      </c>
      <c r="EF156" s="138">
        <v>147538</v>
      </c>
      <c r="EG156" s="138">
        <v>168592</v>
      </c>
      <c r="EH156" s="138"/>
      <c r="EI156" s="138"/>
      <c r="EJ156" s="138"/>
      <c r="EK156" s="3">
        <v>-41199</v>
      </c>
      <c r="EL156" s="138">
        <v>843</v>
      </c>
      <c r="EM156" s="138">
        <v>16109</v>
      </c>
      <c r="EN156" s="3">
        <v>-36408</v>
      </c>
      <c r="EO156" s="138">
        <v>1081</v>
      </c>
      <c r="EP156" s="138">
        <v>23661</v>
      </c>
      <c r="EQ156" s="3">
        <v>-31102</v>
      </c>
      <c r="ER156" s="138">
        <v>1002</v>
      </c>
      <c r="ES156" s="138">
        <v>3099</v>
      </c>
      <c r="ET156" s="163">
        <v>49000</v>
      </c>
      <c r="EU156" s="163">
        <v>-9014</v>
      </c>
      <c r="EV156" s="138">
        <v>23000</v>
      </c>
      <c r="EW156" s="138">
        <v>150</v>
      </c>
      <c r="EX156" s="138">
        <v>25000</v>
      </c>
      <c r="EY156" s="138">
        <v>-992</v>
      </c>
      <c r="EZ156" s="138">
        <v>161528</v>
      </c>
      <c r="FA156" s="138">
        <v>78910</v>
      </c>
      <c r="FB156" s="138">
        <v>82618</v>
      </c>
      <c r="FC156" s="138">
        <v>27236</v>
      </c>
      <c r="FD156" s="138">
        <v>157864</v>
      </c>
      <c r="FE156" s="138">
        <v>78666</v>
      </c>
      <c r="FF156" s="138">
        <v>79198</v>
      </c>
      <c r="FG156" s="138">
        <v>26838</v>
      </c>
      <c r="FH156" s="138">
        <v>169845</v>
      </c>
      <c r="FI156" s="138">
        <v>98769</v>
      </c>
      <c r="FJ156" s="138">
        <v>71076</v>
      </c>
      <c r="FK156" s="138">
        <v>27157</v>
      </c>
      <c r="FL156" s="147">
        <v>7386</v>
      </c>
      <c r="FM156" s="147">
        <v>7827.0031854937515</v>
      </c>
      <c r="FO156" s="181">
        <f t="shared" si="6"/>
        <v>8276.708860759494</v>
      </c>
      <c r="FP156" s="179">
        <f t="shared" si="8"/>
        <v>151.49096478007675</v>
      </c>
      <c r="FR156" s="184"/>
      <c r="FV156" s="184">
        <v>23127</v>
      </c>
      <c r="FW156" s="2">
        <f t="shared" si="7"/>
        <v>-23127</v>
      </c>
    </row>
    <row r="157" spans="1:179" ht="12.75">
      <c r="A157" s="82">
        <v>494</v>
      </c>
      <c r="B157" s="80" t="s">
        <v>154</v>
      </c>
      <c r="C157" s="191">
        <v>8909</v>
      </c>
      <c r="D157" s="146"/>
      <c r="E157" s="150">
        <v>1.0941298163951383</v>
      </c>
      <c r="F157" s="150">
        <v>50.4</v>
      </c>
      <c r="G157" s="151">
        <v>-2185</v>
      </c>
      <c r="H157" s="152"/>
      <c r="I157" s="152"/>
      <c r="J157" s="152"/>
      <c r="K157" s="150">
        <v>48.5</v>
      </c>
      <c r="L157" s="151">
        <v>366</v>
      </c>
      <c r="M157" s="151">
        <v>18</v>
      </c>
      <c r="N157" s="154">
        <v>11717.92095289659</v>
      </c>
      <c r="O157" s="146">
        <v>28797</v>
      </c>
      <c r="P157" s="139">
        <v>14335</v>
      </c>
      <c r="Q157" s="139">
        <v>56860</v>
      </c>
      <c r="R157" s="139">
        <v>-42525</v>
      </c>
      <c r="S157" s="146">
        <v>26067</v>
      </c>
      <c r="T157" s="139">
        <v>21057</v>
      </c>
      <c r="U157" s="160"/>
      <c r="W157" s="138">
        <v>-561</v>
      </c>
      <c r="X157" s="138">
        <v>6</v>
      </c>
      <c r="Y157" s="139">
        <v>4044</v>
      </c>
      <c r="Z157" s="138">
        <v>1941</v>
      </c>
      <c r="AC157" s="139">
        <v>2103</v>
      </c>
      <c r="AD157" s="139">
        <v>48</v>
      </c>
      <c r="AE157" s="139"/>
      <c r="AG157" s="139">
        <v>2151</v>
      </c>
      <c r="AH157" s="139">
        <v>1858</v>
      </c>
      <c r="AI157" s="139">
        <v>3509</v>
      </c>
      <c r="AJ157" s="176"/>
      <c r="AK157" s="139">
        <v>-322</v>
      </c>
      <c r="AL157" s="151">
        <v>-3680</v>
      </c>
      <c r="AM157" s="151">
        <v>-1000</v>
      </c>
      <c r="AN157" s="146">
        <v>26067</v>
      </c>
      <c r="AO157" s="139">
        <v>21660</v>
      </c>
      <c r="AP157" s="139">
        <v>1553</v>
      </c>
      <c r="AQ157" s="139">
        <v>2854</v>
      </c>
      <c r="AR157" s="114">
        <v>20</v>
      </c>
      <c r="AS157" s="152"/>
      <c r="AT157" s="138">
        <v>55</v>
      </c>
      <c r="AU157" s="191">
        <v>8948</v>
      </c>
      <c r="AV157" s="146"/>
      <c r="AW157" s="150">
        <v>0.6985482493595218</v>
      </c>
      <c r="AX157" s="150">
        <v>52.7</v>
      </c>
      <c r="AY157" s="151">
        <v>-2519</v>
      </c>
      <c r="AZ157" s="152"/>
      <c r="BA157" s="152"/>
      <c r="BB157" s="152"/>
      <c r="BC157" s="150">
        <v>47.1</v>
      </c>
      <c r="BD157" s="151">
        <v>316</v>
      </c>
      <c r="BE157" s="151">
        <v>14</v>
      </c>
      <c r="BF157" s="154">
        <v>7990.612427358068</v>
      </c>
      <c r="BG157" s="146">
        <v>30701</v>
      </c>
      <c r="BH157" s="139">
        <v>14617</v>
      </c>
      <c r="BI157" s="139">
        <v>60218</v>
      </c>
      <c r="BJ157" s="139">
        <v>-45601</v>
      </c>
      <c r="BK157" s="146">
        <v>26585</v>
      </c>
      <c r="BL157" s="146">
        <v>22220</v>
      </c>
      <c r="BM157" s="160"/>
      <c r="BO157" s="138">
        <v>-529</v>
      </c>
      <c r="BP157" s="138">
        <v>-61</v>
      </c>
      <c r="BQ157" s="139">
        <v>2614</v>
      </c>
      <c r="BR157" s="138">
        <v>2028</v>
      </c>
      <c r="BU157" s="139">
        <v>586</v>
      </c>
      <c r="BV157" s="139">
        <v>45</v>
      </c>
      <c r="BW157" s="139"/>
      <c r="BY157" s="138">
        <v>631</v>
      </c>
      <c r="BZ157" s="139">
        <v>2489</v>
      </c>
      <c r="CA157" s="139">
        <v>2382</v>
      </c>
      <c r="CB157" s="176"/>
      <c r="CC157" s="139">
        <v>167</v>
      </c>
      <c r="CD157" s="151">
        <v>-4026</v>
      </c>
      <c r="CE157" s="151">
        <v>-2989</v>
      </c>
      <c r="CF157" s="138">
        <v>26585</v>
      </c>
      <c r="CG157" s="139">
        <v>21976</v>
      </c>
      <c r="CH157" s="139">
        <v>1675</v>
      </c>
      <c r="CI157" s="139">
        <v>2934</v>
      </c>
      <c r="CJ157" s="114">
        <v>20</v>
      </c>
      <c r="CK157" s="152"/>
      <c r="CL157" s="138">
        <v>70</v>
      </c>
      <c r="CM157" s="190">
        <v>8998</v>
      </c>
      <c r="CN157" s="146"/>
      <c r="CO157" s="150">
        <v>1.060618306728632</v>
      </c>
      <c r="CP157" s="150">
        <v>52.68930059931246</v>
      </c>
      <c r="CQ157" s="151">
        <v>-2486.997110468993</v>
      </c>
      <c r="CR157" s="152"/>
      <c r="CS157" s="152"/>
      <c r="CT157" s="152"/>
      <c r="CU157" s="150">
        <v>47.99291356019783</v>
      </c>
      <c r="CV157" s="151">
        <v>384.7521671482552</v>
      </c>
      <c r="CW157" s="151">
        <v>17.52</v>
      </c>
      <c r="CX157" s="154">
        <v>8015.670148921982</v>
      </c>
      <c r="CY157" s="146">
        <v>30849</v>
      </c>
      <c r="CZ157" s="139">
        <v>14421</v>
      </c>
      <c r="DA157" s="139">
        <v>61102</v>
      </c>
      <c r="DB157" s="139">
        <v>-46681</v>
      </c>
      <c r="DC157" s="146">
        <v>28664</v>
      </c>
      <c r="DD157" s="146">
        <v>22783</v>
      </c>
      <c r="DE157" s="160"/>
      <c r="DG157" s="138">
        <v>-431</v>
      </c>
      <c r="DH157" s="138">
        <v>367</v>
      </c>
      <c r="DI157" s="139">
        <v>4702</v>
      </c>
      <c r="DJ157" s="138">
        <v>2523</v>
      </c>
      <c r="DM157" s="139">
        <v>2179</v>
      </c>
      <c r="DN157" s="139">
        <v>43</v>
      </c>
      <c r="DO157" s="139"/>
      <c r="DQ157" s="138">
        <v>2222</v>
      </c>
      <c r="DR157" s="139">
        <v>4711</v>
      </c>
      <c r="DS157" s="139">
        <v>4209</v>
      </c>
      <c r="DT157" s="176"/>
      <c r="DU157" s="139">
        <v>-721</v>
      </c>
      <c r="DV157" s="151">
        <v>-4402</v>
      </c>
      <c r="DW157" s="138">
        <v>6</v>
      </c>
      <c r="DX157" s="138">
        <v>28664</v>
      </c>
      <c r="DY157" s="146">
        <v>24053</v>
      </c>
      <c r="DZ157" s="196">
        <v>1582</v>
      </c>
      <c r="EA157" s="146">
        <v>3029</v>
      </c>
      <c r="EB157" s="114">
        <v>20</v>
      </c>
      <c r="EC157" s="152"/>
      <c r="ED157" s="138">
        <v>51</v>
      </c>
      <c r="EE157" s="138">
        <v>20999</v>
      </c>
      <c r="EF157" s="138">
        <v>22006</v>
      </c>
      <c r="EG157" s="138">
        <v>22734</v>
      </c>
      <c r="EH157" s="138"/>
      <c r="EI157" s="138"/>
      <c r="EJ157" s="138"/>
      <c r="EK157" s="3">
        <v>-6044</v>
      </c>
      <c r="EL157" s="138">
        <v>435</v>
      </c>
      <c r="EM157" s="138">
        <v>1100</v>
      </c>
      <c r="EN157" s="3">
        <v>-6469</v>
      </c>
      <c r="EO157" s="138">
        <v>728</v>
      </c>
      <c r="EP157" s="138">
        <v>371</v>
      </c>
      <c r="EQ157" s="3">
        <v>-6195</v>
      </c>
      <c r="ER157" s="138">
        <v>1407</v>
      </c>
      <c r="ES157" s="138">
        <v>585</v>
      </c>
      <c r="ET157" s="163">
        <v>4000</v>
      </c>
      <c r="EU157" s="163"/>
      <c r="EV157" s="138">
        <v>6000</v>
      </c>
      <c r="EW157" s="138"/>
      <c r="EX157" s="138">
        <v>5000</v>
      </c>
      <c r="EY157" s="138"/>
      <c r="EZ157" s="138">
        <v>23916</v>
      </c>
      <c r="FA157" s="138">
        <v>19890</v>
      </c>
      <c r="FB157" s="138">
        <v>4026</v>
      </c>
      <c r="FC157" s="138">
        <v>0</v>
      </c>
      <c r="FD157" s="138">
        <v>25890</v>
      </c>
      <c r="FE157" s="138">
        <v>21489</v>
      </c>
      <c r="FF157" s="138">
        <v>4401</v>
      </c>
      <c r="FG157" s="138">
        <v>0</v>
      </c>
      <c r="FH157" s="138">
        <v>26489</v>
      </c>
      <c r="FI157" s="138">
        <v>21831</v>
      </c>
      <c r="FJ157" s="138">
        <v>4658</v>
      </c>
      <c r="FK157" s="138">
        <v>0</v>
      </c>
      <c r="FL157" s="147">
        <v>3253</v>
      </c>
      <c r="FM157" s="147">
        <v>4782.185963343764</v>
      </c>
      <c r="FO157" s="181">
        <f t="shared" si="6"/>
        <v>1202.65</v>
      </c>
      <c r="FP157" s="179">
        <f t="shared" si="8"/>
        <v>133.65747943987554</v>
      </c>
      <c r="FR157" s="184"/>
      <c r="FV157" s="184">
        <v>3680</v>
      </c>
      <c r="FW157" s="2">
        <f t="shared" si="7"/>
        <v>-3680</v>
      </c>
    </row>
    <row r="158" spans="1:179" ht="12.75">
      <c r="A158" s="82">
        <v>495</v>
      </c>
      <c r="B158" s="80" t="s">
        <v>155</v>
      </c>
      <c r="C158" s="191">
        <v>1847</v>
      </c>
      <c r="D158" s="146"/>
      <c r="E158" s="150">
        <v>0.40037243947858475</v>
      </c>
      <c r="F158" s="150">
        <v>41.4</v>
      </c>
      <c r="G158" s="151">
        <v>-2408</v>
      </c>
      <c r="H158" s="152"/>
      <c r="I158" s="152"/>
      <c r="J158" s="152"/>
      <c r="K158" s="150">
        <v>37.8</v>
      </c>
      <c r="L158" s="151">
        <v>162</v>
      </c>
      <c r="M158" s="151">
        <v>7</v>
      </c>
      <c r="N158" s="154">
        <v>8951.034191642042</v>
      </c>
      <c r="O158" s="146">
        <v>6043</v>
      </c>
      <c r="P158" s="139">
        <v>2575</v>
      </c>
      <c r="Q158" s="139">
        <v>13580</v>
      </c>
      <c r="R158" s="139">
        <v>-11005</v>
      </c>
      <c r="S158" s="146">
        <v>5002</v>
      </c>
      <c r="T158" s="139">
        <v>5952</v>
      </c>
      <c r="U158" s="160"/>
      <c r="W158" s="138">
        <v>-63</v>
      </c>
      <c r="X158" s="138">
        <v>32</v>
      </c>
      <c r="Y158" s="139">
        <v>-82</v>
      </c>
      <c r="Z158" s="138">
        <v>383</v>
      </c>
      <c r="AC158" s="139">
        <v>-465</v>
      </c>
      <c r="AG158" s="139">
        <v>-465</v>
      </c>
      <c r="AH158" s="139">
        <v>-1044</v>
      </c>
      <c r="AI158" s="139">
        <v>-137</v>
      </c>
      <c r="AJ158" s="176"/>
      <c r="AK158" s="138">
        <v>2</v>
      </c>
      <c r="AL158" s="151">
        <v>-562</v>
      </c>
      <c r="AM158" s="151">
        <v>-475</v>
      </c>
      <c r="AN158" s="146">
        <v>5002</v>
      </c>
      <c r="AO158" s="139">
        <v>3732</v>
      </c>
      <c r="AP158" s="139">
        <v>1017</v>
      </c>
      <c r="AQ158" s="139">
        <v>253</v>
      </c>
      <c r="AR158" s="114">
        <v>19.75</v>
      </c>
      <c r="AS158" s="152"/>
      <c r="AT158" s="138">
        <v>295</v>
      </c>
      <c r="AU158" s="191">
        <v>1816</v>
      </c>
      <c r="AV158" s="146"/>
      <c r="AW158" s="150">
        <v>0.11590296495956873</v>
      </c>
      <c r="AX158" s="150">
        <v>40.1</v>
      </c>
      <c r="AY158" s="151">
        <v>-2382</v>
      </c>
      <c r="AZ158" s="152"/>
      <c r="BA158" s="152"/>
      <c r="BB158" s="152"/>
      <c r="BC158" s="150">
        <v>35.5</v>
      </c>
      <c r="BD158" s="151">
        <v>313</v>
      </c>
      <c r="BE158" s="151">
        <v>13</v>
      </c>
      <c r="BF158" s="154">
        <v>8902.533039647578</v>
      </c>
      <c r="BG158" s="146">
        <v>6099</v>
      </c>
      <c r="BH158" s="139">
        <v>2604</v>
      </c>
      <c r="BI158" s="139">
        <v>13714</v>
      </c>
      <c r="BJ158" s="139">
        <v>-11110</v>
      </c>
      <c r="BK158" s="146">
        <v>4822</v>
      </c>
      <c r="BL158" s="146">
        <v>6367</v>
      </c>
      <c r="BM158" s="160"/>
      <c r="BO158" s="138">
        <v>-72</v>
      </c>
      <c r="BP158" s="138">
        <v>4</v>
      </c>
      <c r="BQ158" s="139">
        <v>11</v>
      </c>
      <c r="BR158" s="138">
        <v>386</v>
      </c>
      <c r="BU158" s="139">
        <v>-375</v>
      </c>
      <c r="BY158" s="138">
        <v>-375</v>
      </c>
      <c r="BZ158" s="139">
        <v>-1420</v>
      </c>
      <c r="CA158" s="139">
        <v>33</v>
      </c>
      <c r="CB158" s="176"/>
      <c r="CC158" s="138">
        <v>217</v>
      </c>
      <c r="CD158" s="151">
        <v>-667</v>
      </c>
      <c r="CE158" s="151">
        <v>203</v>
      </c>
      <c r="CF158" s="138">
        <v>4822</v>
      </c>
      <c r="CG158" s="139">
        <v>3885</v>
      </c>
      <c r="CH158" s="139">
        <v>615</v>
      </c>
      <c r="CI158" s="139">
        <v>322</v>
      </c>
      <c r="CJ158" s="114">
        <v>21</v>
      </c>
      <c r="CK158" s="152"/>
      <c r="CL158" s="138">
        <v>235</v>
      </c>
      <c r="CM158" s="190">
        <v>1777</v>
      </c>
      <c r="CN158" s="146"/>
      <c r="CO158" s="150">
        <v>1.696095076400679</v>
      </c>
      <c r="CP158" s="150">
        <v>32.74501661129568</v>
      </c>
      <c r="CQ158" s="151">
        <v>-2033.7647720877885</v>
      </c>
      <c r="CR158" s="152"/>
      <c r="CS158" s="152"/>
      <c r="CT158" s="152"/>
      <c r="CU158" s="150">
        <v>42.763783269961976</v>
      </c>
      <c r="CV158" s="151">
        <v>357.9065841305571</v>
      </c>
      <c r="CW158" s="151">
        <v>16.18377021751255</v>
      </c>
      <c r="CX158" s="154">
        <v>8072.031513787282</v>
      </c>
      <c r="CY158" s="146">
        <v>6108</v>
      </c>
      <c r="CZ158" s="139">
        <v>2513</v>
      </c>
      <c r="DA158" s="139">
        <v>13452</v>
      </c>
      <c r="DB158" s="139">
        <v>-10939</v>
      </c>
      <c r="DC158" s="146">
        <v>5025</v>
      </c>
      <c r="DD158" s="146">
        <v>6910</v>
      </c>
      <c r="DE158" s="160"/>
      <c r="DG158" s="138">
        <v>-32</v>
      </c>
      <c r="DH158" s="138">
        <v>1</v>
      </c>
      <c r="DI158" s="139">
        <v>965</v>
      </c>
      <c r="DJ158" s="138">
        <v>451</v>
      </c>
      <c r="DM158" s="139">
        <v>514</v>
      </c>
      <c r="DQ158" s="138">
        <v>514</v>
      </c>
      <c r="DR158" s="139">
        <v>-906</v>
      </c>
      <c r="DS158" s="139">
        <v>737</v>
      </c>
      <c r="DT158" s="176"/>
      <c r="DU158" s="138">
        <v>153</v>
      </c>
      <c r="DV158" s="151">
        <v>-555</v>
      </c>
      <c r="DW158" s="138">
        <v>693</v>
      </c>
      <c r="DX158" s="138">
        <v>5025</v>
      </c>
      <c r="DY158" s="146">
        <v>3899</v>
      </c>
      <c r="DZ158" s="196">
        <v>780</v>
      </c>
      <c r="EA158" s="146">
        <v>346</v>
      </c>
      <c r="EB158" s="114">
        <v>21</v>
      </c>
      <c r="EC158" s="152"/>
      <c r="ED158" s="138">
        <v>45</v>
      </c>
      <c r="EE158" s="138">
        <v>5814</v>
      </c>
      <c r="EF158" s="138">
        <v>5750</v>
      </c>
      <c r="EG158" s="138">
        <v>5885</v>
      </c>
      <c r="EH158" s="138"/>
      <c r="EI158" s="138">
        <v>250</v>
      </c>
      <c r="EJ158" s="138">
        <v>240</v>
      </c>
      <c r="EK158" s="3">
        <v>-428</v>
      </c>
      <c r="EL158" s="138"/>
      <c r="EM158" s="138">
        <v>90</v>
      </c>
      <c r="EN158" s="3">
        <v>-1664</v>
      </c>
      <c r="EO158" s="138"/>
      <c r="EP158" s="138">
        <v>1834</v>
      </c>
      <c r="EQ158" s="3">
        <v>-301</v>
      </c>
      <c r="ES158" s="138">
        <v>257</v>
      </c>
      <c r="ET158" s="163">
        <v>950</v>
      </c>
      <c r="EU158" s="163">
        <v>-750</v>
      </c>
      <c r="EV158" s="138"/>
      <c r="EW158" s="138">
        <v>900</v>
      </c>
      <c r="EX158" s="138">
        <v>102</v>
      </c>
      <c r="EY158" s="138">
        <v>-250</v>
      </c>
      <c r="EZ158" s="138">
        <v>3728</v>
      </c>
      <c r="FA158" s="138">
        <v>3056</v>
      </c>
      <c r="FB158" s="138">
        <v>672</v>
      </c>
      <c r="FC158" s="138">
        <v>21</v>
      </c>
      <c r="FD158" s="138">
        <v>3960</v>
      </c>
      <c r="FE158" s="138">
        <v>2518</v>
      </c>
      <c r="FF158" s="138">
        <v>1442</v>
      </c>
      <c r="FG158" s="138">
        <v>66</v>
      </c>
      <c r="FH158" s="138">
        <v>3258</v>
      </c>
      <c r="FI158" s="138">
        <v>2080</v>
      </c>
      <c r="FJ158" s="138">
        <v>1178</v>
      </c>
      <c r="FK158" s="138">
        <v>62</v>
      </c>
      <c r="FL158" s="147">
        <v>2475</v>
      </c>
      <c r="FM158" s="147">
        <v>2471.3656387665196</v>
      </c>
      <c r="FO158" s="181">
        <f t="shared" si="6"/>
        <v>185.66666666666666</v>
      </c>
      <c r="FP158" s="179">
        <f t="shared" si="8"/>
        <v>104.48321140498967</v>
      </c>
      <c r="FR158" s="184"/>
      <c r="FV158" s="184">
        <v>562</v>
      </c>
      <c r="FW158" s="2">
        <f t="shared" si="7"/>
        <v>-562</v>
      </c>
    </row>
    <row r="159" spans="1:179" ht="12.75">
      <c r="A159" s="82">
        <v>498</v>
      </c>
      <c r="B159" s="80" t="s">
        <v>156</v>
      </c>
      <c r="C159" s="191">
        <v>2369</v>
      </c>
      <c r="D159" s="146"/>
      <c r="E159" s="150">
        <v>0.5592476489028213</v>
      </c>
      <c r="F159" s="150">
        <v>49</v>
      </c>
      <c r="G159" s="151">
        <v>-3020</v>
      </c>
      <c r="H159" s="152"/>
      <c r="I159" s="152"/>
      <c r="J159" s="152"/>
      <c r="K159" s="150">
        <v>26.5</v>
      </c>
      <c r="L159" s="151">
        <v>120</v>
      </c>
      <c r="M159" s="151">
        <v>6</v>
      </c>
      <c r="N159" s="154">
        <v>5764.3629425482295</v>
      </c>
      <c r="O159" s="146">
        <v>6000</v>
      </c>
      <c r="P159" s="139">
        <v>1941</v>
      </c>
      <c r="Q159" s="139">
        <v>15800</v>
      </c>
      <c r="R159" s="139">
        <v>-13859</v>
      </c>
      <c r="S159" s="146">
        <v>7436</v>
      </c>
      <c r="T159" s="139">
        <v>7062</v>
      </c>
      <c r="U159" s="160"/>
      <c r="W159" s="138">
        <v>-186</v>
      </c>
      <c r="X159" s="138">
        <v>38</v>
      </c>
      <c r="Y159" s="139">
        <v>491</v>
      </c>
      <c r="Z159" s="138">
        <v>542</v>
      </c>
      <c r="AB159" s="139"/>
      <c r="AC159" s="139">
        <v>-51</v>
      </c>
      <c r="AD159" s="138">
        <v>25</v>
      </c>
      <c r="AE159" s="139"/>
      <c r="AF159" s="139"/>
      <c r="AG159" s="139">
        <v>-26</v>
      </c>
      <c r="AH159" s="139">
        <v>-650</v>
      </c>
      <c r="AI159" s="139">
        <v>491</v>
      </c>
      <c r="AJ159" s="176"/>
      <c r="AK159" s="139">
        <v>162</v>
      </c>
      <c r="AL159" s="151">
        <v>-1194</v>
      </c>
      <c r="AM159" s="151">
        <v>-414</v>
      </c>
      <c r="AN159" s="146">
        <v>7436</v>
      </c>
      <c r="AO159" s="139">
        <v>6121</v>
      </c>
      <c r="AP159" s="139">
        <v>640</v>
      </c>
      <c r="AQ159" s="139">
        <v>675</v>
      </c>
      <c r="AR159" s="114">
        <v>20.5</v>
      </c>
      <c r="AS159" s="152"/>
      <c r="AT159" s="138">
        <v>195</v>
      </c>
      <c r="AU159" s="191">
        <v>2394</v>
      </c>
      <c r="AV159" s="146"/>
      <c r="AW159" s="150">
        <v>0.24127230411171452</v>
      </c>
      <c r="AX159" s="150">
        <v>53.5</v>
      </c>
      <c r="AY159" s="151">
        <v>-3368</v>
      </c>
      <c r="AZ159" s="152"/>
      <c r="BA159" s="152"/>
      <c r="BB159" s="152"/>
      <c r="BC159" s="150">
        <v>22</v>
      </c>
      <c r="BD159" s="151">
        <v>103</v>
      </c>
      <c r="BE159" s="151">
        <v>5</v>
      </c>
      <c r="BF159" s="154">
        <v>8058.897243107768</v>
      </c>
      <c r="BG159" s="146">
        <v>6533</v>
      </c>
      <c r="BH159" s="139">
        <v>1945</v>
      </c>
      <c r="BI159" s="139">
        <v>16878</v>
      </c>
      <c r="BJ159" s="139">
        <v>-14933</v>
      </c>
      <c r="BK159" s="146">
        <v>7431</v>
      </c>
      <c r="BL159" s="146">
        <v>7788</v>
      </c>
      <c r="BM159" s="160"/>
      <c r="BO159" s="138">
        <v>-143</v>
      </c>
      <c r="BP159" s="138">
        <v>25</v>
      </c>
      <c r="BQ159" s="139">
        <v>168</v>
      </c>
      <c r="BR159" s="138">
        <v>554</v>
      </c>
      <c r="BT159" s="139"/>
      <c r="BU159" s="139">
        <v>-386</v>
      </c>
      <c r="BV159" s="138">
        <v>30</v>
      </c>
      <c r="BW159" s="139"/>
      <c r="BX159" s="139"/>
      <c r="BY159" s="138">
        <v>-356</v>
      </c>
      <c r="BZ159" s="139">
        <v>-1007</v>
      </c>
      <c r="CA159" s="139">
        <v>-70</v>
      </c>
      <c r="CB159" s="176"/>
      <c r="CC159" s="139">
        <v>-252</v>
      </c>
      <c r="CD159" s="151">
        <v>-1146</v>
      </c>
      <c r="CE159" s="151">
        <v>-908</v>
      </c>
      <c r="CF159" s="138">
        <v>7431</v>
      </c>
      <c r="CG159" s="139">
        <v>6293</v>
      </c>
      <c r="CH159" s="139">
        <v>456</v>
      </c>
      <c r="CI159" s="139">
        <v>682</v>
      </c>
      <c r="CJ159" s="114">
        <v>20.5</v>
      </c>
      <c r="CK159" s="152"/>
      <c r="CL159" s="138">
        <v>209</v>
      </c>
      <c r="CM159" s="190">
        <v>2383</v>
      </c>
      <c r="CN159" s="146"/>
      <c r="CO159" s="150">
        <v>0.06704824202780049</v>
      </c>
      <c r="CP159" s="150">
        <v>61.06048053024026</v>
      </c>
      <c r="CQ159" s="151">
        <v>-4108.266890474192</v>
      </c>
      <c r="CR159" s="152"/>
      <c r="CS159" s="152"/>
      <c r="CT159" s="152"/>
      <c r="CU159" s="150">
        <v>14.843629641041442</v>
      </c>
      <c r="CV159" s="151">
        <v>175.40914813260596</v>
      </c>
      <c r="CW159" s="151">
        <v>7.2034938621340885</v>
      </c>
      <c r="CX159" s="154">
        <v>8887.956357532521</v>
      </c>
      <c r="CY159" s="146">
        <v>7044</v>
      </c>
      <c r="CZ159" s="139">
        <v>2120</v>
      </c>
      <c r="DA159" s="139">
        <v>18040</v>
      </c>
      <c r="DB159" s="139">
        <v>-15920</v>
      </c>
      <c r="DC159" s="146">
        <v>7996</v>
      </c>
      <c r="DD159" s="146">
        <v>7989</v>
      </c>
      <c r="DE159" s="160"/>
      <c r="DG159" s="138">
        <v>-133</v>
      </c>
      <c r="DH159" s="138">
        <v>16</v>
      </c>
      <c r="DI159" s="139">
        <v>-52</v>
      </c>
      <c r="DJ159" s="138">
        <v>617</v>
      </c>
      <c r="DL159" s="139"/>
      <c r="DM159" s="139">
        <v>-669</v>
      </c>
      <c r="DN159" s="138">
        <v>30</v>
      </c>
      <c r="DO159" s="139"/>
      <c r="DP159" s="139"/>
      <c r="DQ159" s="138">
        <v>-639</v>
      </c>
      <c r="DR159" s="139">
        <v>-1646</v>
      </c>
      <c r="DS159" s="139">
        <v>-51</v>
      </c>
      <c r="DT159" s="176"/>
      <c r="DU159" s="139">
        <v>20</v>
      </c>
      <c r="DV159" s="151">
        <v>-1090</v>
      </c>
      <c r="DW159" s="138">
        <v>-1680</v>
      </c>
      <c r="DX159" s="138">
        <v>7996</v>
      </c>
      <c r="DY159" s="146">
        <v>6728</v>
      </c>
      <c r="DZ159" s="196">
        <v>501</v>
      </c>
      <c r="EA159" s="146">
        <v>767</v>
      </c>
      <c r="EB159" s="114">
        <v>20.75</v>
      </c>
      <c r="EC159" s="152"/>
      <c r="ED159" s="138">
        <v>282</v>
      </c>
      <c r="EE159" s="138">
        <v>8231</v>
      </c>
      <c r="EF159" s="138">
        <v>8647</v>
      </c>
      <c r="EG159" s="138">
        <v>9151</v>
      </c>
      <c r="EH159" s="138"/>
      <c r="EI159" s="138"/>
      <c r="EJ159" s="138"/>
      <c r="EK159" s="3">
        <v>-940</v>
      </c>
      <c r="EL159" s="138">
        <v>34</v>
      </c>
      <c r="EM159" s="138">
        <v>1</v>
      </c>
      <c r="EN159" s="3">
        <v>-1125</v>
      </c>
      <c r="EO159" s="138">
        <v>245</v>
      </c>
      <c r="EP159" s="138">
        <v>42</v>
      </c>
      <c r="EQ159" s="3">
        <v>-1862</v>
      </c>
      <c r="ER159" s="138">
        <v>233</v>
      </c>
      <c r="ET159" s="163">
        <v>2000</v>
      </c>
      <c r="EU159" s="163">
        <v>-200</v>
      </c>
      <c r="EV159" s="138"/>
      <c r="EW159" s="138">
        <v>2000</v>
      </c>
      <c r="EX159" s="138">
        <v>2200</v>
      </c>
      <c r="EY159" s="138">
        <v>200</v>
      </c>
      <c r="EZ159" s="138">
        <v>5968</v>
      </c>
      <c r="FA159" s="138">
        <v>4522</v>
      </c>
      <c r="FB159" s="138">
        <v>1446</v>
      </c>
      <c r="FC159" s="138">
        <v>71</v>
      </c>
      <c r="FD159" s="138">
        <v>6822</v>
      </c>
      <c r="FE159" s="138">
        <v>3544</v>
      </c>
      <c r="FF159" s="138">
        <v>3278</v>
      </c>
      <c r="FG159" s="138">
        <v>71</v>
      </c>
      <c r="FH159" s="138">
        <v>8132</v>
      </c>
      <c r="FI159" s="138">
        <v>4473</v>
      </c>
      <c r="FJ159" s="138">
        <v>3659</v>
      </c>
      <c r="FK159" s="138">
        <v>121</v>
      </c>
      <c r="FL159" s="147">
        <v>3624</v>
      </c>
      <c r="FM159" s="147">
        <v>3995.8228905597325</v>
      </c>
      <c r="FO159" s="181">
        <f t="shared" si="6"/>
        <v>324.2409638554217</v>
      </c>
      <c r="FP159" s="179">
        <f t="shared" si="8"/>
        <v>136.06418961620716</v>
      </c>
      <c r="FR159" s="184"/>
      <c r="FV159" s="184">
        <v>1194</v>
      </c>
      <c r="FW159" s="2">
        <f t="shared" si="7"/>
        <v>-1194</v>
      </c>
    </row>
    <row r="160" spans="1:179" ht="12.75">
      <c r="A160" s="82">
        <v>499</v>
      </c>
      <c r="B160" s="80" t="s">
        <v>157</v>
      </c>
      <c r="C160" s="191">
        <v>18868</v>
      </c>
      <c r="D160" s="146"/>
      <c r="E160" s="150">
        <v>2.458382180539273</v>
      </c>
      <c r="F160" s="150">
        <v>46.1</v>
      </c>
      <c r="G160" s="151">
        <v>-1834</v>
      </c>
      <c r="H160" s="152"/>
      <c r="I160" s="152"/>
      <c r="J160" s="152"/>
      <c r="K160" s="150">
        <v>52.3</v>
      </c>
      <c r="L160" s="151">
        <v>300</v>
      </c>
      <c r="M160" s="151">
        <v>17</v>
      </c>
      <c r="N160" s="154">
        <v>6766.899766899767</v>
      </c>
      <c r="O160" s="146">
        <v>54339</v>
      </c>
      <c r="P160" s="139">
        <v>21486</v>
      </c>
      <c r="Q160" s="139">
        <v>107443</v>
      </c>
      <c r="R160" s="139">
        <v>-85957</v>
      </c>
      <c r="S160" s="146">
        <v>64417</v>
      </c>
      <c r="T160" s="139">
        <v>25654</v>
      </c>
      <c r="U160" s="160"/>
      <c r="W160" s="138">
        <v>-418</v>
      </c>
      <c r="X160" s="138">
        <v>402</v>
      </c>
      <c r="Y160" s="139">
        <v>4098</v>
      </c>
      <c r="Z160" s="138">
        <v>4960</v>
      </c>
      <c r="AA160" s="139"/>
      <c r="AB160" s="139"/>
      <c r="AC160" s="139">
        <v>-862</v>
      </c>
      <c r="AG160" s="139">
        <v>-862</v>
      </c>
      <c r="AH160" s="139">
        <v>10107</v>
      </c>
      <c r="AI160" s="139">
        <v>3620</v>
      </c>
      <c r="AJ160" s="176"/>
      <c r="AK160" s="139">
        <v>-4148</v>
      </c>
      <c r="AL160" s="151">
        <v>-1610</v>
      </c>
      <c r="AM160" s="151">
        <v>-4682</v>
      </c>
      <c r="AN160" s="146">
        <v>64417</v>
      </c>
      <c r="AO160" s="139">
        <v>58511</v>
      </c>
      <c r="AP160" s="139">
        <v>2781</v>
      </c>
      <c r="AQ160" s="139">
        <v>3125</v>
      </c>
      <c r="AR160" s="114">
        <v>19.75</v>
      </c>
      <c r="AS160" s="152"/>
      <c r="AT160" s="138">
        <v>189</v>
      </c>
      <c r="AU160" s="191">
        <v>19012</v>
      </c>
      <c r="AV160" s="146"/>
      <c r="AW160" s="150">
        <v>1.304812834224599</v>
      </c>
      <c r="AX160" s="150">
        <v>53.7</v>
      </c>
      <c r="AY160" s="151">
        <v>-2731</v>
      </c>
      <c r="AZ160" s="152"/>
      <c r="BA160" s="152"/>
      <c r="BB160" s="152"/>
      <c r="BC160" s="150">
        <v>45.7</v>
      </c>
      <c r="BD160" s="151">
        <v>253</v>
      </c>
      <c r="BE160" s="151">
        <v>13</v>
      </c>
      <c r="BF160" s="154">
        <v>7183.936461182411</v>
      </c>
      <c r="BG160" s="146">
        <v>58165</v>
      </c>
      <c r="BH160" s="139">
        <v>22439</v>
      </c>
      <c r="BI160" s="139">
        <v>114406</v>
      </c>
      <c r="BJ160" s="139">
        <v>-91967</v>
      </c>
      <c r="BK160" s="146">
        <v>67140</v>
      </c>
      <c r="BL160" s="146">
        <v>27323</v>
      </c>
      <c r="BM160" s="160"/>
      <c r="BO160" s="138">
        <v>-585</v>
      </c>
      <c r="BP160" s="138">
        <v>383</v>
      </c>
      <c r="BQ160" s="139">
        <v>2294</v>
      </c>
      <c r="BR160" s="138">
        <v>5807</v>
      </c>
      <c r="BS160" s="139"/>
      <c r="BT160" s="139"/>
      <c r="BU160" s="139">
        <v>-3513</v>
      </c>
      <c r="BY160" s="138">
        <v>-3513</v>
      </c>
      <c r="BZ160" s="139">
        <v>6594</v>
      </c>
      <c r="CA160" s="139">
        <v>1905</v>
      </c>
      <c r="CB160" s="176"/>
      <c r="CC160" s="139">
        <v>5202</v>
      </c>
      <c r="CD160" s="151">
        <v>-1610</v>
      </c>
      <c r="CE160" s="151">
        <v>-17469</v>
      </c>
      <c r="CF160" s="138">
        <v>67140</v>
      </c>
      <c r="CG160" s="139">
        <v>61722</v>
      </c>
      <c r="CH160" s="139">
        <v>1943</v>
      </c>
      <c r="CI160" s="139">
        <v>3475</v>
      </c>
      <c r="CJ160" s="114">
        <v>19.75</v>
      </c>
      <c r="CK160" s="152"/>
      <c r="CL160" s="138">
        <v>173</v>
      </c>
      <c r="CM160" s="190">
        <v>19153</v>
      </c>
      <c r="CN160" s="146"/>
      <c r="CO160" s="150">
        <v>1.134700536005593</v>
      </c>
      <c r="CP160" s="150">
        <v>61.4503629586031</v>
      </c>
      <c r="CQ160" s="151">
        <v>-3552.446091996032</v>
      </c>
      <c r="CR160" s="152"/>
      <c r="CS160" s="152"/>
      <c r="CT160" s="152"/>
      <c r="CU160" s="150">
        <v>40.23016747378516</v>
      </c>
      <c r="CV160" s="151">
        <v>48.34751736020466</v>
      </c>
      <c r="CW160" s="151">
        <v>2.3695316881660125</v>
      </c>
      <c r="CX160" s="154">
        <v>7447.397274578395</v>
      </c>
      <c r="CY160" s="146">
        <v>59773</v>
      </c>
      <c r="CZ160" s="139">
        <v>24014</v>
      </c>
      <c r="DA160" s="139">
        <v>118052</v>
      </c>
      <c r="DB160" s="139">
        <v>-94038</v>
      </c>
      <c r="DC160" s="146">
        <v>70347</v>
      </c>
      <c r="DD160" s="146">
        <v>28237</v>
      </c>
      <c r="DE160" s="160"/>
      <c r="DG160" s="138">
        <v>-647</v>
      </c>
      <c r="DH160" s="138">
        <v>289</v>
      </c>
      <c r="DI160" s="139">
        <v>4188</v>
      </c>
      <c r="DJ160" s="138">
        <v>6444</v>
      </c>
      <c r="DK160" s="139"/>
      <c r="DL160" s="139"/>
      <c r="DM160" s="139">
        <v>-2256</v>
      </c>
      <c r="DQ160" s="138">
        <v>-2256</v>
      </c>
      <c r="DR160" s="139">
        <v>4338</v>
      </c>
      <c r="DS160" s="139">
        <v>2701</v>
      </c>
      <c r="DT160" s="176"/>
      <c r="DU160" s="139">
        <v>-259</v>
      </c>
      <c r="DV160" s="151">
        <v>-3610</v>
      </c>
      <c r="DW160" s="138">
        <v>-16216</v>
      </c>
      <c r="DX160" s="138">
        <v>70347</v>
      </c>
      <c r="DY160" s="146">
        <v>64837</v>
      </c>
      <c r="DZ160" s="196">
        <v>2065</v>
      </c>
      <c r="EA160" s="146">
        <v>3445</v>
      </c>
      <c r="EB160" s="114">
        <v>19.75</v>
      </c>
      <c r="EC160" s="152"/>
      <c r="ED160" s="138">
        <v>188</v>
      </c>
      <c r="EE160" s="138">
        <v>39433</v>
      </c>
      <c r="EF160" s="138">
        <v>41396</v>
      </c>
      <c r="EG160" s="138">
        <v>44224</v>
      </c>
      <c r="EH160" s="138"/>
      <c r="EI160" s="138"/>
      <c r="EJ160" s="138"/>
      <c r="EK160" s="3">
        <v>-10799</v>
      </c>
      <c r="EL160" s="138">
        <v>1977</v>
      </c>
      <c r="EM160" s="138">
        <v>520</v>
      </c>
      <c r="EN160" s="3">
        <v>-20174</v>
      </c>
      <c r="EO160" s="138">
        <v>258</v>
      </c>
      <c r="EP160" s="138">
        <v>542</v>
      </c>
      <c r="EQ160" s="3">
        <v>-20534</v>
      </c>
      <c r="ER160" s="138">
        <v>79</v>
      </c>
      <c r="ES160" s="138">
        <v>1538</v>
      </c>
      <c r="ET160" s="163">
        <v>10000</v>
      </c>
      <c r="EU160" s="163">
        <v>-3100</v>
      </c>
      <c r="EV160" s="138"/>
      <c r="EW160" s="138">
        <v>12000</v>
      </c>
      <c r="EX160" s="138">
        <v>15000</v>
      </c>
      <c r="EY160" s="138">
        <v>1000</v>
      </c>
      <c r="EZ160" s="138">
        <v>32230</v>
      </c>
      <c r="FA160" s="138">
        <v>27620</v>
      </c>
      <c r="FB160" s="138">
        <v>4610</v>
      </c>
      <c r="FC160" s="138">
        <v>1784</v>
      </c>
      <c r="FD160" s="138">
        <v>42620</v>
      </c>
      <c r="FE160" s="138">
        <v>24010</v>
      </c>
      <c r="FF160" s="138">
        <v>18610</v>
      </c>
      <c r="FG160" s="138">
        <v>1642</v>
      </c>
      <c r="FH160" s="138">
        <v>55010</v>
      </c>
      <c r="FI160" s="138">
        <v>25500</v>
      </c>
      <c r="FJ160" s="138">
        <v>29510</v>
      </c>
      <c r="FK160" s="138">
        <v>1531</v>
      </c>
      <c r="FL160" s="147">
        <v>1999</v>
      </c>
      <c r="FM160" s="147">
        <v>2628.3399957921315</v>
      </c>
      <c r="FO160" s="181">
        <f t="shared" si="6"/>
        <v>3282.8860759493673</v>
      </c>
      <c r="FP160" s="179">
        <f t="shared" si="8"/>
        <v>171.40323061397</v>
      </c>
      <c r="FR160" s="184"/>
      <c r="FV160" s="184">
        <v>1610</v>
      </c>
      <c r="FW160" s="2">
        <f t="shared" si="7"/>
        <v>-1610</v>
      </c>
    </row>
    <row r="161" spans="1:179" ht="12.75">
      <c r="A161" s="82">
        <v>500</v>
      </c>
      <c r="B161" s="80" t="s">
        <v>158</v>
      </c>
      <c r="C161" s="191">
        <v>9438</v>
      </c>
      <c r="D161" s="146"/>
      <c r="E161" s="150">
        <v>0.7158980973879394</v>
      </c>
      <c r="F161" s="150">
        <v>50.7</v>
      </c>
      <c r="G161" s="151">
        <v>-2372</v>
      </c>
      <c r="H161" s="152"/>
      <c r="I161" s="152"/>
      <c r="J161" s="152"/>
      <c r="K161" s="150">
        <v>49.5</v>
      </c>
      <c r="L161" s="151">
        <v>33</v>
      </c>
      <c r="M161" s="151">
        <v>2</v>
      </c>
      <c r="N161" s="154">
        <v>5983.590253605172</v>
      </c>
      <c r="O161" s="146">
        <v>18049</v>
      </c>
      <c r="P161" s="139">
        <v>7315</v>
      </c>
      <c r="Q161" s="139">
        <v>46711</v>
      </c>
      <c r="R161" s="139">
        <v>-39396</v>
      </c>
      <c r="S161" s="146">
        <v>31955</v>
      </c>
      <c r="T161" s="139">
        <v>9913</v>
      </c>
      <c r="U161" s="160"/>
      <c r="W161" s="138">
        <v>-388</v>
      </c>
      <c r="X161" s="138">
        <v>118</v>
      </c>
      <c r="Y161" s="139">
        <v>2202</v>
      </c>
      <c r="Z161" s="138">
        <v>2360</v>
      </c>
      <c r="AA161" s="138">
        <v>580</v>
      </c>
      <c r="AB161" s="139">
        <v>373</v>
      </c>
      <c r="AC161" s="139">
        <v>49</v>
      </c>
      <c r="AD161" s="139"/>
      <c r="AG161" s="139">
        <v>49</v>
      </c>
      <c r="AH161" s="139">
        <v>4925</v>
      </c>
      <c r="AI161" s="139">
        <v>1669</v>
      </c>
      <c r="AJ161" s="176"/>
      <c r="AK161" s="139">
        <v>212</v>
      </c>
      <c r="AL161" s="151">
        <v>-3083</v>
      </c>
      <c r="AM161" s="151">
        <v>-912</v>
      </c>
      <c r="AN161" s="146">
        <v>31955</v>
      </c>
      <c r="AO161" s="139">
        <v>28605</v>
      </c>
      <c r="AP161" s="139">
        <v>1800</v>
      </c>
      <c r="AQ161" s="139">
        <v>1550</v>
      </c>
      <c r="AR161" s="114">
        <v>19.5</v>
      </c>
      <c r="AS161" s="152"/>
      <c r="AT161" s="138">
        <v>174</v>
      </c>
      <c r="AU161" s="191">
        <v>9569</v>
      </c>
      <c r="AV161" s="146"/>
      <c r="AW161" s="150">
        <v>0.832046332046332</v>
      </c>
      <c r="AX161" s="150">
        <v>48.3</v>
      </c>
      <c r="AY161" s="151">
        <v>-2403</v>
      </c>
      <c r="AZ161" s="152"/>
      <c r="BA161" s="152"/>
      <c r="BB161" s="152"/>
      <c r="BC161" s="150">
        <v>48.7</v>
      </c>
      <c r="BD161" s="151">
        <v>7</v>
      </c>
      <c r="BE161" s="151">
        <v>0</v>
      </c>
      <c r="BF161" s="154">
        <v>5864.980666736336</v>
      </c>
      <c r="BG161" s="146">
        <v>18705</v>
      </c>
      <c r="BH161" s="139">
        <v>9692</v>
      </c>
      <c r="BI161" s="139">
        <v>50114</v>
      </c>
      <c r="BJ161" s="139">
        <v>-40422</v>
      </c>
      <c r="BK161" s="146">
        <v>33167</v>
      </c>
      <c r="BL161" s="146">
        <v>9672</v>
      </c>
      <c r="BM161" s="160"/>
      <c r="BO161" s="138">
        <v>-267</v>
      </c>
      <c r="BP161" s="138">
        <v>159</v>
      </c>
      <c r="BQ161" s="139">
        <v>2309</v>
      </c>
      <c r="BR161" s="138">
        <v>2523</v>
      </c>
      <c r="BT161" s="139"/>
      <c r="BU161" s="139">
        <v>-214</v>
      </c>
      <c r="BV161" s="139"/>
      <c r="BY161" s="138">
        <v>-214</v>
      </c>
      <c r="BZ161" s="139">
        <v>4711</v>
      </c>
      <c r="CA161" s="139">
        <v>1060</v>
      </c>
      <c r="CB161" s="176"/>
      <c r="CC161" s="139">
        <v>-118</v>
      </c>
      <c r="CD161" s="151">
        <v>-2831</v>
      </c>
      <c r="CE161" s="151">
        <v>-738</v>
      </c>
      <c r="CF161" s="138">
        <v>33167</v>
      </c>
      <c r="CG161" s="139">
        <v>30198</v>
      </c>
      <c r="CH161" s="139">
        <v>1343</v>
      </c>
      <c r="CI161" s="139">
        <v>1626</v>
      </c>
      <c r="CJ161" s="114">
        <v>19.5</v>
      </c>
      <c r="CK161" s="152"/>
      <c r="CL161" s="138">
        <v>90</v>
      </c>
      <c r="CM161" s="190">
        <v>9572</v>
      </c>
      <c r="CN161" s="146"/>
      <c r="CO161" s="150">
        <v>1.9833272924972816</v>
      </c>
      <c r="CP161" s="150">
        <v>45.4531993262628</v>
      </c>
      <c r="CQ161" s="151">
        <v>-2271.416631842875</v>
      </c>
      <c r="CR161" s="152"/>
      <c r="CS161" s="152"/>
      <c r="CT161" s="152"/>
      <c r="CU161" s="150">
        <v>51.56179444389909</v>
      </c>
      <c r="CV161" s="151">
        <v>39.176765566234856</v>
      </c>
      <c r="CW161" s="151">
        <v>2.459745534270208</v>
      </c>
      <c r="CX161" s="154">
        <v>5813.414124529879</v>
      </c>
      <c r="CY161" s="146">
        <v>18422</v>
      </c>
      <c r="CZ161" s="139">
        <v>8199</v>
      </c>
      <c r="DA161" s="139">
        <v>49017</v>
      </c>
      <c r="DB161" s="139">
        <v>-40818</v>
      </c>
      <c r="DC161" s="146">
        <v>36320</v>
      </c>
      <c r="DD161" s="146">
        <v>9833</v>
      </c>
      <c r="DE161" s="160"/>
      <c r="DG161" s="138">
        <v>-132</v>
      </c>
      <c r="DH161" s="138">
        <v>130</v>
      </c>
      <c r="DI161" s="139">
        <v>5333</v>
      </c>
      <c r="DJ161" s="138">
        <v>3183</v>
      </c>
      <c r="DL161" s="139"/>
      <c r="DM161" s="139">
        <v>2150</v>
      </c>
      <c r="DN161" s="139"/>
      <c r="DQ161" s="138">
        <v>2150</v>
      </c>
      <c r="DR161" s="139">
        <v>6861</v>
      </c>
      <c r="DS161" s="139">
        <v>4665</v>
      </c>
      <c r="DT161" s="176"/>
      <c r="DU161" s="139">
        <v>-245</v>
      </c>
      <c r="DV161" s="151">
        <v>-2620</v>
      </c>
      <c r="DW161" s="138">
        <v>1225</v>
      </c>
      <c r="DX161" s="138">
        <v>36320</v>
      </c>
      <c r="DY161" s="146">
        <v>32872</v>
      </c>
      <c r="DZ161" s="196">
        <v>1707</v>
      </c>
      <c r="EA161" s="146">
        <v>1741</v>
      </c>
      <c r="EB161" s="114">
        <v>19.5</v>
      </c>
      <c r="EC161" s="152"/>
      <c r="ED161" s="138">
        <v>43</v>
      </c>
      <c r="EE161" s="138">
        <v>23290</v>
      </c>
      <c r="EF161" s="138">
        <v>25214</v>
      </c>
      <c r="EG161" s="138">
        <v>24127</v>
      </c>
      <c r="EH161" s="138"/>
      <c r="EI161" s="138"/>
      <c r="EJ161" s="138"/>
      <c r="EK161" s="3">
        <v>-4902</v>
      </c>
      <c r="EL161" s="138"/>
      <c r="EM161" s="138">
        <v>2321</v>
      </c>
      <c r="EN161" s="3">
        <v>-3193</v>
      </c>
      <c r="EO161" s="138"/>
      <c r="EP161" s="138">
        <v>1395</v>
      </c>
      <c r="EQ161" s="3">
        <v>-4191</v>
      </c>
      <c r="ES161" s="138">
        <v>751</v>
      </c>
      <c r="ET161" s="163">
        <v>335</v>
      </c>
      <c r="EU161" s="163">
        <v>1950</v>
      </c>
      <c r="EV161" s="138"/>
      <c r="EW161" s="138">
        <v>2800</v>
      </c>
      <c r="EX161" s="138"/>
      <c r="EY161" s="138">
        <v>2600</v>
      </c>
      <c r="EZ161" s="138">
        <v>17208</v>
      </c>
      <c r="FA161" s="138">
        <v>11576</v>
      </c>
      <c r="FB161" s="138">
        <v>5632</v>
      </c>
      <c r="FC161" s="138">
        <v>353</v>
      </c>
      <c r="FD161" s="138">
        <v>17176</v>
      </c>
      <c r="FE161" s="138">
        <v>8956</v>
      </c>
      <c r="FF161" s="138">
        <v>8220</v>
      </c>
      <c r="FG161" s="138">
        <v>317</v>
      </c>
      <c r="FH161" s="138">
        <v>17156</v>
      </c>
      <c r="FI161" s="138">
        <v>6629</v>
      </c>
      <c r="FJ161" s="138">
        <v>10527</v>
      </c>
      <c r="FK161" s="138">
        <v>281</v>
      </c>
      <c r="FL161" s="147">
        <v>5044</v>
      </c>
      <c r="FM161" s="147">
        <v>5008.987355000522</v>
      </c>
      <c r="FO161" s="181">
        <f t="shared" si="6"/>
        <v>1685.7435897435898</v>
      </c>
      <c r="FP161" s="179">
        <f t="shared" si="8"/>
        <v>176.11195045378082</v>
      </c>
      <c r="FR161" s="184"/>
      <c r="FV161" s="184">
        <v>3083</v>
      </c>
      <c r="FW161" s="2">
        <f t="shared" si="7"/>
        <v>-3083</v>
      </c>
    </row>
    <row r="162" spans="1:179" ht="12.75">
      <c r="A162" s="82">
        <v>503</v>
      </c>
      <c r="B162" s="80" t="s">
        <v>159</v>
      </c>
      <c r="C162" s="191">
        <v>8044</v>
      </c>
      <c r="D162" s="146"/>
      <c r="E162" s="150">
        <v>0.9383259911894273</v>
      </c>
      <c r="F162" s="150">
        <v>28.1</v>
      </c>
      <c r="G162" s="151">
        <v>-1240</v>
      </c>
      <c r="H162" s="152"/>
      <c r="I162" s="152"/>
      <c r="J162" s="152"/>
      <c r="K162" s="150">
        <v>70.4</v>
      </c>
      <c r="L162" s="151">
        <v>86</v>
      </c>
      <c r="M162" s="151">
        <v>5</v>
      </c>
      <c r="N162" s="154">
        <v>8018.426294820717</v>
      </c>
      <c r="O162" s="146">
        <v>13418</v>
      </c>
      <c r="P162" s="139">
        <v>6048</v>
      </c>
      <c r="Q162" s="139">
        <v>43038</v>
      </c>
      <c r="R162" s="139">
        <v>-36990</v>
      </c>
      <c r="S162" s="146">
        <v>22060</v>
      </c>
      <c r="T162" s="139">
        <v>16014</v>
      </c>
      <c r="U162" s="160"/>
      <c r="W162" s="138">
        <v>-75</v>
      </c>
      <c r="X162" s="138">
        <v>128</v>
      </c>
      <c r="Y162" s="139">
        <v>1137</v>
      </c>
      <c r="Z162" s="138">
        <v>1577</v>
      </c>
      <c r="AC162" s="139">
        <v>-440</v>
      </c>
      <c r="AD162" s="138">
        <v>49</v>
      </c>
      <c r="AG162" s="139">
        <v>-391</v>
      </c>
      <c r="AH162" s="139">
        <v>7641</v>
      </c>
      <c r="AI162" s="139">
        <v>925</v>
      </c>
      <c r="AJ162" s="176"/>
      <c r="AK162" s="138">
        <v>231</v>
      </c>
      <c r="AL162" s="151">
        <v>-1263</v>
      </c>
      <c r="AM162" s="151">
        <v>-2684</v>
      </c>
      <c r="AN162" s="146">
        <v>22060</v>
      </c>
      <c r="AO162" s="139">
        <v>19991</v>
      </c>
      <c r="AP162" s="139">
        <v>1015</v>
      </c>
      <c r="AQ162" s="139">
        <v>1054</v>
      </c>
      <c r="AR162" s="114">
        <v>19</v>
      </c>
      <c r="AS162" s="152"/>
      <c r="AT162" s="138">
        <v>240</v>
      </c>
      <c r="AU162" s="191">
        <v>7978</v>
      </c>
      <c r="AV162" s="146"/>
      <c r="AW162" s="150">
        <v>0.03544494720965309</v>
      </c>
      <c r="AX162" s="150">
        <v>31.9</v>
      </c>
      <c r="AY162" s="151">
        <v>-1479</v>
      </c>
      <c r="AZ162" s="152"/>
      <c r="BA162" s="152"/>
      <c r="BB162" s="152"/>
      <c r="BC162" s="150">
        <v>65.7</v>
      </c>
      <c r="BD162" s="151">
        <v>130</v>
      </c>
      <c r="BE162" s="151">
        <v>8</v>
      </c>
      <c r="BF162" s="154">
        <v>6095.63800451241</v>
      </c>
      <c r="BG162" s="146">
        <v>13924</v>
      </c>
      <c r="BH162" s="139">
        <v>5822</v>
      </c>
      <c r="BI162" s="139">
        <v>44959</v>
      </c>
      <c r="BJ162" s="139">
        <v>-39137</v>
      </c>
      <c r="BK162" s="146">
        <v>22373</v>
      </c>
      <c r="BL162" s="146">
        <v>16747</v>
      </c>
      <c r="BM162" s="160"/>
      <c r="BO162" s="138">
        <v>-84</v>
      </c>
      <c r="BP162" s="138">
        <v>52</v>
      </c>
      <c r="BQ162" s="139">
        <v>-49</v>
      </c>
      <c r="BR162" s="138">
        <v>1651</v>
      </c>
      <c r="BU162" s="139">
        <v>-1700</v>
      </c>
      <c r="BV162" s="138">
        <v>49</v>
      </c>
      <c r="BY162" s="138">
        <v>-1651</v>
      </c>
      <c r="BZ162" s="139">
        <v>5721</v>
      </c>
      <c r="CA162" s="139">
        <v>-124</v>
      </c>
      <c r="CB162" s="176"/>
      <c r="CC162" s="138">
        <v>273</v>
      </c>
      <c r="CD162" s="151">
        <v>-1230</v>
      </c>
      <c r="CE162" s="151">
        <v>-1567</v>
      </c>
      <c r="CF162" s="138">
        <v>22373</v>
      </c>
      <c r="CG162" s="139">
        <v>20630</v>
      </c>
      <c r="CH162" s="139">
        <v>647</v>
      </c>
      <c r="CI162" s="139">
        <v>1096</v>
      </c>
      <c r="CJ162" s="114">
        <v>19</v>
      </c>
      <c r="CK162" s="152"/>
      <c r="CL162" s="138">
        <v>243</v>
      </c>
      <c r="CM162" s="190">
        <v>7950</v>
      </c>
      <c r="CN162" s="146"/>
      <c r="CO162" s="150">
        <v>0.6249153689911984</v>
      </c>
      <c r="CP162" s="150">
        <v>43.15586160564327</v>
      </c>
      <c r="CQ162" s="151">
        <v>-1778.1132075471696</v>
      </c>
      <c r="CR162" s="152"/>
      <c r="CS162" s="152"/>
      <c r="CT162" s="152"/>
      <c r="CU162" s="150">
        <v>56.65129263260104</v>
      </c>
      <c r="CV162" s="151">
        <v>642.8930817610062</v>
      </c>
      <c r="CW162" s="151">
        <v>36.30042225292367</v>
      </c>
      <c r="CX162" s="154">
        <v>6464.276729559749</v>
      </c>
      <c r="CY162" s="146">
        <v>13715</v>
      </c>
      <c r="CZ162" s="139">
        <v>5610</v>
      </c>
      <c r="DA162" s="139">
        <v>46729</v>
      </c>
      <c r="DB162" s="139">
        <v>-41119</v>
      </c>
      <c r="DC162" s="146">
        <v>24556</v>
      </c>
      <c r="DD162" s="146">
        <v>17466</v>
      </c>
      <c r="DE162" s="160"/>
      <c r="DG162" s="138">
        <v>-74</v>
      </c>
      <c r="DH162" s="138">
        <v>15</v>
      </c>
      <c r="DI162" s="139">
        <v>844</v>
      </c>
      <c r="DJ162" s="138">
        <v>1628</v>
      </c>
      <c r="DM162" s="139">
        <v>-784</v>
      </c>
      <c r="DN162" s="138">
        <v>49</v>
      </c>
      <c r="DQ162" s="138">
        <v>-735</v>
      </c>
      <c r="DR162" s="139">
        <v>4865</v>
      </c>
      <c r="DS162" s="139">
        <v>755</v>
      </c>
      <c r="DT162" s="176"/>
      <c r="DU162" s="138">
        <v>171</v>
      </c>
      <c r="DV162" s="151">
        <v>-1398</v>
      </c>
      <c r="DW162" s="138">
        <v>-2247</v>
      </c>
      <c r="DX162" s="138">
        <v>24556</v>
      </c>
      <c r="DY162" s="146">
        <v>22769</v>
      </c>
      <c r="DZ162" s="196">
        <v>648</v>
      </c>
      <c r="EA162" s="146">
        <v>1139</v>
      </c>
      <c r="EB162" s="114">
        <v>19.5</v>
      </c>
      <c r="EC162" s="152"/>
      <c r="ED162" s="138">
        <v>245</v>
      </c>
      <c r="EE162" s="138">
        <v>25062</v>
      </c>
      <c r="EF162" s="138">
        <v>26515</v>
      </c>
      <c r="EG162" s="138">
        <v>29176</v>
      </c>
      <c r="EH162" s="138"/>
      <c r="EI162" s="138"/>
      <c r="EJ162" s="138"/>
      <c r="EK162" s="3">
        <v>-3884</v>
      </c>
      <c r="EL162" s="138"/>
      <c r="EM162" s="138">
        <v>275</v>
      </c>
      <c r="EN162" s="3">
        <v>-2311</v>
      </c>
      <c r="EO162" s="138">
        <v>50</v>
      </c>
      <c r="EP162" s="138">
        <v>818</v>
      </c>
      <c r="EQ162" s="3">
        <v>-3149</v>
      </c>
      <c r="ER162" s="138">
        <v>40</v>
      </c>
      <c r="ES162" s="138">
        <v>107</v>
      </c>
      <c r="ET162" s="163">
        <v>2500</v>
      </c>
      <c r="EU162" s="163"/>
      <c r="EV162" s="138">
        <v>1786</v>
      </c>
      <c r="EW162" s="138"/>
      <c r="EX162" s="138">
        <v>2000</v>
      </c>
      <c r="EY162" s="138">
        <v>6000</v>
      </c>
      <c r="EZ162" s="138">
        <v>6808</v>
      </c>
      <c r="FA162" s="138">
        <v>5578</v>
      </c>
      <c r="FB162" s="138">
        <v>1230</v>
      </c>
      <c r="FC162" s="138">
        <v>0</v>
      </c>
      <c r="FD162" s="138">
        <v>7364</v>
      </c>
      <c r="FE162" s="138">
        <v>5967</v>
      </c>
      <c r="FF162" s="138">
        <v>1397</v>
      </c>
      <c r="FG162" s="138">
        <v>0</v>
      </c>
      <c r="FH162" s="138">
        <v>13966</v>
      </c>
      <c r="FI162" s="138">
        <v>6375</v>
      </c>
      <c r="FJ162" s="138">
        <v>7591</v>
      </c>
      <c r="FK162" s="138">
        <v>0</v>
      </c>
      <c r="FL162" s="147">
        <v>1717</v>
      </c>
      <c r="FM162" s="147">
        <v>1938.706442717473</v>
      </c>
      <c r="FO162" s="181">
        <f t="shared" si="6"/>
        <v>1167.6410256410256</v>
      </c>
      <c r="FP162" s="179">
        <f t="shared" si="8"/>
        <v>146.87308498629253</v>
      </c>
      <c r="FR162" s="184"/>
      <c r="FV162" s="184">
        <v>1263</v>
      </c>
      <c r="FW162" s="2">
        <f t="shared" si="7"/>
        <v>-1263</v>
      </c>
    </row>
    <row r="163" spans="1:179" ht="12.75">
      <c r="A163" s="82">
        <v>504</v>
      </c>
      <c r="B163" s="80" t="s">
        <v>160</v>
      </c>
      <c r="C163" s="191">
        <v>2008</v>
      </c>
      <c r="D163" s="146"/>
      <c r="E163" s="150">
        <v>3.474056603773585</v>
      </c>
      <c r="F163" s="150">
        <v>20.8</v>
      </c>
      <c r="G163" s="151">
        <v>374</v>
      </c>
      <c r="H163" s="152"/>
      <c r="I163" s="152"/>
      <c r="J163" s="152"/>
      <c r="K163" s="150">
        <v>79</v>
      </c>
      <c r="L163" s="151">
        <v>1355</v>
      </c>
      <c r="M163" s="151">
        <v>89</v>
      </c>
      <c r="N163" s="154">
        <v>6260.692464358452</v>
      </c>
      <c r="O163" s="146">
        <v>2092</v>
      </c>
      <c r="P163" s="139">
        <v>1115</v>
      </c>
      <c r="Q163" s="139">
        <v>10215</v>
      </c>
      <c r="R163" s="139">
        <v>-9100</v>
      </c>
      <c r="S163" s="146">
        <v>5327</v>
      </c>
      <c r="T163" s="139">
        <v>4582</v>
      </c>
      <c r="U163" s="160"/>
      <c r="W163" s="138">
        <v>1</v>
      </c>
      <c r="X163" s="138">
        <v>272</v>
      </c>
      <c r="Y163" s="139">
        <v>1082</v>
      </c>
      <c r="Z163" s="138">
        <v>282</v>
      </c>
      <c r="AB163" s="138">
        <v>69</v>
      </c>
      <c r="AC163" s="139">
        <v>731</v>
      </c>
      <c r="AD163" s="139">
        <v>1</v>
      </c>
      <c r="AG163" s="139">
        <v>732</v>
      </c>
      <c r="AH163" s="139">
        <v>2043</v>
      </c>
      <c r="AI163" s="139">
        <v>985</v>
      </c>
      <c r="AJ163" s="176"/>
      <c r="AK163" s="139">
        <v>-82</v>
      </c>
      <c r="AL163" s="151">
        <v>-33</v>
      </c>
      <c r="AM163" s="151">
        <v>132</v>
      </c>
      <c r="AN163" s="146">
        <v>5327</v>
      </c>
      <c r="AO163" s="139">
        <v>4674</v>
      </c>
      <c r="AP163" s="139">
        <v>413</v>
      </c>
      <c r="AQ163" s="139">
        <v>240</v>
      </c>
      <c r="AR163" s="114">
        <v>20</v>
      </c>
      <c r="AS163" s="152"/>
      <c r="AT163" s="138">
        <v>29</v>
      </c>
      <c r="AU163" s="191">
        <v>1992</v>
      </c>
      <c r="AV163" s="146"/>
      <c r="AW163" s="150">
        <v>5.666666666666667</v>
      </c>
      <c r="AX163" s="150">
        <v>23.3</v>
      </c>
      <c r="AY163" s="151">
        <v>-61</v>
      </c>
      <c r="AZ163" s="152"/>
      <c r="BA163" s="152"/>
      <c r="BB163" s="152"/>
      <c r="BC163" s="150">
        <v>76.8</v>
      </c>
      <c r="BD163" s="151">
        <v>1080</v>
      </c>
      <c r="BE163" s="151">
        <v>63</v>
      </c>
      <c r="BF163" s="154">
        <v>6259.036144578313</v>
      </c>
      <c r="BG163" s="146">
        <v>2121</v>
      </c>
      <c r="BH163" s="139">
        <v>1182</v>
      </c>
      <c r="BI163" s="139">
        <v>11159</v>
      </c>
      <c r="BJ163" s="139">
        <v>-9977</v>
      </c>
      <c r="BK163" s="146">
        <v>5616</v>
      </c>
      <c r="BL163" s="146">
        <v>4406</v>
      </c>
      <c r="BM163" s="160"/>
      <c r="BO163" s="138">
        <v>2</v>
      </c>
      <c r="BP163" s="138">
        <v>253</v>
      </c>
      <c r="BQ163" s="139">
        <v>300</v>
      </c>
      <c r="BR163" s="138">
        <v>338</v>
      </c>
      <c r="BU163" s="139">
        <v>-38</v>
      </c>
      <c r="BV163" s="139"/>
      <c r="BY163" s="138">
        <v>-38</v>
      </c>
      <c r="BZ163" s="139">
        <v>2005</v>
      </c>
      <c r="CA163" s="139">
        <v>300</v>
      </c>
      <c r="CB163" s="176"/>
      <c r="CC163" s="139">
        <v>-10</v>
      </c>
      <c r="CD163" s="151">
        <v>-34</v>
      </c>
      <c r="CE163" s="151">
        <v>-871</v>
      </c>
      <c r="CF163" s="138">
        <v>5616</v>
      </c>
      <c r="CG163" s="139">
        <v>5077</v>
      </c>
      <c r="CH163" s="139">
        <v>289</v>
      </c>
      <c r="CI163" s="139">
        <v>250</v>
      </c>
      <c r="CJ163" s="114">
        <v>20</v>
      </c>
      <c r="CK163" s="152"/>
      <c r="CL163" s="138">
        <v>152</v>
      </c>
      <c r="CM163" s="190">
        <v>1987</v>
      </c>
      <c r="CN163" s="146"/>
      <c r="CO163" s="150">
        <v>0.030508474576271188</v>
      </c>
      <c r="CP163" s="150">
        <v>40.71840115232265</v>
      </c>
      <c r="CQ163" s="151">
        <v>-1454.4539506794163</v>
      </c>
      <c r="CR163" s="152"/>
      <c r="CS163" s="152"/>
      <c r="CT163" s="152"/>
      <c r="CU163" s="150">
        <v>64.61766773412481</v>
      </c>
      <c r="CV163" s="151">
        <v>639.1545042778057</v>
      </c>
      <c r="CW163" s="151">
        <v>31.922732594173954</v>
      </c>
      <c r="CX163" s="154">
        <v>7308.0020130850535</v>
      </c>
      <c r="CY163" s="146">
        <v>2183</v>
      </c>
      <c r="CZ163" s="139">
        <v>1083</v>
      </c>
      <c r="DA163" s="139">
        <v>11465</v>
      </c>
      <c r="DB163" s="139">
        <v>-10382</v>
      </c>
      <c r="DC163" s="146">
        <v>5578</v>
      </c>
      <c r="DD163" s="146">
        <v>4447</v>
      </c>
      <c r="DE163" s="160"/>
      <c r="DG163" s="138">
        <v>-16</v>
      </c>
      <c r="DH163" s="138">
        <v>359</v>
      </c>
      <c r="DI163" s="139">
        <v>-14</v>
      </c>
      <c r="DJ163" s="138">
        <v>341</v>
      </c>
      <c r="DM163" s="139">
        <v>-355</v>
      </c>
      <c r="DN163" s="139"/>
      <c r="DQ163" s="138">
        <v>-355</v>
      </c>
      <c r="DR163" s="139">
        <v>1650</v>
      </c>
      <c r="DS163" s="139">
        <v>-14</v>
      </c>
      <c r="DT163" s="176"/>
      <c r="DU163" s="139">
        <v>-31</v>
      </c>
      <c r="DV163" s="151">
        <v>-272</v>
      </c>
      <c r="DW163" s="138">
        <v>-2768</v>
      </c>
      <c r="DX163" s="138">
        <v>5578</v>
      </c>
      <c r="DY163" s="146">
        <v>5001</v>
      </c>
      <c r="DZ163" s="196">
        <v>321</v>
      </c>
      <c r="EA163" s="146">
        <v>256</v>
      </c>
      <c r="EB163" s="114">
        <v>20</v>
      </c>
      <c r="EC163" s="152"/>
      <c r="ED163" s="138">
        <v>279</v>
      </c>
      <c r="EE163" s="138">
        <v>7432</v>
      </c>
      <c r="EF163" s="138">
        <v>8246</v>
      </c>
      <c r="EG163" s="138">
        <v>8496</v>
      </c>
      <c r="EH163" s="138"/>
      <c r="EI163" s="138"/>
      <c r="EJ163" s="138"/>
      <c r="EK163" s="3">
        <v>-883</v>
      </c>
      <c r="EL163" s="138"/>
      <c r="EM163" s="138">
        <v>30</v>
      </c>
      <c r="EN163" s="3">
        <v>-1251</v>
      </c>
      <c r="EO163" s="138"/>
      <c r="EP163" s="138">
        <v>80</v>
      </c>
      <c r="EQ163" s="3">
        <v>-2761</v>
      </c>
      <c r="ES163" s="138">
        <v>7</v>
      </c>
      <c r="ET163" s="163"/>
      <c r="EU163" s="163">
        <v>-5</v>
      </c>
      <c r="EV163" s="138"/>
      <c r="EW163" s="138">
        <v>1</v>
      </c>
      <c r="EX163" s="138"/>
      <c r="EY163" s="138">
        <v>2236</v>
      </c>
      <c r="EZ163" s="138">
        <v>497</v>
      </c>
      <c r="FA163" s="138">
        <v>463</v>
      </c>
      <c r="FB163" s="138">
        <v>34</v>
      </c>
      <c r="FC163" s="138">
        <v>0</v>
      </c>
      <c r="FD163" s="138">
        <v>466</v>
      </c>
      <c r="FE163" s="138">
        <v>430</v>
      </c>
      <c r="FF163" s="138">
        <v>36</v>
      </c>
      <c r="FG163" s="138">
        <v>0</v>
      </c>
      <c r="FH163" s="138">
        <v>2430</v>
      </c>
      <c r="FI163" s="138">
        <v>158</v>
      </c>
      <c r="FJ163" s="138">
        <v>2272</v>
      </c>
      <c r="FK163" s="138">
        <v>0</v>
      </c>
      <c r="FL163" s="147">
        <v>533</v>
      </c>
      <c r="FM163" s="147">
        <v>517.570281124498</v>
      </c>
      <c r="FO163" s="181">
        <f t="shared" si="6"/>
        <v>250.05</v>
      </c>
      <c r="FP163" s="179">
        <f t="shared" si="8"/>
        <v>125.84297936587821</v>
      </c>
      <c r="FR163" s="184"/>
      <c r="FV163" s="184">
        <v>33</v>
      </c>
      <c r="FW163" s="2">
        <f t="shared" si="7"/>
        <v>-33</v>
      </c>
    </row>
    <row r="164" spans="1:179" ht="12.75">
      <c r="A164" s="82">
        <v>505</v>
      </c>
      <c r="B164" s="80" t="s">
        <v>161</v>
      </c>
      <c r="C164" s="191">
        <v>20131</v>
      </c>
      <c r="D164" s="146"/>
      <c r="E164" s="150">
        <v>1.5635914958238422</v>
      </c>
      <c r="F164" s="150">
        <v>52.3</v>
      </c>
      <c r="G164" s="151">
        <v>-2682</v>
      </c>
      <c r="H164" s="152"/>
      <c r="I164" s="152"/>
      <c r="J164" s="152"/>
      <c r="K164" s="150">
        <v>53.9</v>
      </c>
      <c r="L164" s="151">
        <v>4</v>
      </c>
      <c r="M164" s="151">
        <v>0</v>
      </c>
      <c r="N164" s="154">
        <v>7690.21931376017</v>
      </c>
      <c r="O164" s="146">
        <v>48026</v>
      </c>
      <c r="P164" s="139">
        <v>29634</v>
      </c>
      <c r="Q164" s="139">
        <v>114054</v>
      </c>
      <c r="R164" s="139">
        <v>-84420</v>
      </c>
      <c r="S164" s="146">
        <v>65892</v>
      </c>
      <c r="T164" s="139">
        <v>25308</v>
      </c>
      <c r="U164" s="160"/>
      <c r="W164" s="138">
        <v>-687</v>
      </c>
      <c r="X164" s="138">
        <v>1807</v>
      </c>
      <c r="Y164" s="139">
        <v>7900</v>
      </c>
      <c r="Z164" s="138">
        <v>4087</v>
      </c>
      <c r="AA164" s="139">
        <v>123</v>
      </c>
      <c r="AB164" s="139"/>
      <c r="AC164" s="139">
        <v>3936</v>
      </c>
      <c r="AD164" s="139">
        <v>99</v>
      </c>
      <c r="AE164" s="139"/>
      <c r="AF164" s="139"/>
      <c r="AG164" s="139">
        <v>4035</v>
      </c>
      <c r="AH164" s="139">
        <v>18839</v>
      </c>
      <c r="AI164" s="139">
        <v>6109</v>
      </c>
      <c r="AJ164" s="176"/>
      <c r="AK164" s="139">
        <v>-2708</v>
      </c>
      <c r="AL164" s="151">
        <v>-4931</v>
      </c>
      <c r="AM164" s="151">
        <v>-1409</v>
      </c>
      <c r="AN164" s="146">
        <v>65892</v>
      </c>
      <c r="AO164" s="139">
        <v>58975</v>
      </c>
      <c r="AP164" s="139">
        <v>2567</v>
      </c>
      <c r="AQ164" s="139">
        <v>4350</v>
      </c>
      <c r="AR164" s="114">
        <v>19.75</v>
      </c>
      <c r="AS164" s="152"/>
      <c r="AT164" s="138">
        <v>78</v>
      </c>
      <c r="AU164" s="191">
        <v>20478</v>
      </c>
      <c r="AV164" s="146"/>
      <c r="AW164" s="150">
        <v>0.9793594306049822</v>
      </c>
      <c r="AX164" s="150">
        <v>57.9</v>
      </c>
      <c r="AY164" s="151">
        <v>-3139</v>
      </c>
      <c r="AZ164" s="152"/>
      <c r="BA164" s="152"/>
      <c r="BB164" s="152"/>
      <c r="BC164" s="150">
        <v>50.9</v>
      </c>
      <c r="BD164" s="151">
        <v>4</v>
      </c>
      <c r="BE164" s="151">
        <v>0</v>
      </c>
      <c r="BF164" s="154">
        <v>6933.294267018264</v>
      </c>
      <c r="BG164" s="146">
        <v>51434</v>
      </c>
      <c r="BH164" s="139">
        <v>31023</v>
      </c>
      <c r="BI164" s="139">
        <v>120316</v>
      </c>
      <c r="BJ164" s="139">
        <v>-89293</v>
      </c>
      <c r="BK164" s="146">
        <v>66995</v>
      </c>
      <c r="BL164" s="146">
        <v>26376</v>
      </c>
      <c r="BM164" s="160"/>
      <c r="BO164" s="138">
        <v>-637</v>
      </c>
      <c r="BP164" s="138">
        <v>1341</v>
      </c>
      <c r="BQ164" s="139">
        <v>4782</v>
      </c>
      <c r="BR164" s="138">
        <v>4602</v>
      </c>
      <c r="BS164" s="139"/>
      <c r="BT164" s="139"/>
      <c r="BU164" s="139">
        <v>180</v>
      </c>
      <c r="BV164" s="139">
        <v>99</v>
      </c>
      <c r="BW164" s="139"/>
      <c r="BX164" s="139"/>
      <c r="BY164" s="138">
        <v>279</v>
      </c>
      <c r="BZ164" s="139">
        <v>19516</v>
      </c>
      <c r="CA164" s="139">
        <v>3164</v>
      </c>
      <c r="CB164" s="176"/>
      <c r="CC164" s="139">
        <v>1470</v>
      </c>
      <c r="CD164" s="151">
        <v>-4898</v>
      </c>
      <c r="CE164" s="151">
        <v>-10525</v>
      </c>
      <c r="CF164" s="138">
        <v>66995</v>
      </c>
      <c r="CG164" s="139">
        <v>60533</v>
      </c>
      <c r="CH164" s="139">
        <v>1945</v>
      </c>
      <c r="CI164" s="139">
        <v>4517</v>
      </c>
      <c r="CJ164" s="114">
        <v>19.75</v>
      </c>
      <c r="CK164" s="152"/>
      <c r="CL164" s="138">
        <v>92</v>
      </c>
      <c r="CM164" s="190">
        <v>20534</v>
      </c>
      <c r="CN164" s="146"/>
      <c r="CO164" s="150">
        <v>1.4973703981968445</v>
      </c>
      <c r="CP164" s="150">
        <v>56.51316282907073</v>
      </c>
      <c r="CQ164" s="151">
        <v>-3242.134995617025</v>
      </c>
      <c r="CR164" s="152"/>
      <c r="CS164" s="152"/>
      <c r="CT164" s="152"/>
      <c r="CU164" s="150">
        <v>50.60615116747444</v>
      </c>
      <c r="CV164" s="151">
        <v>37.5474822246031</v>
      </c>
      <c r="CW164" s="151">
        <v>1.9367726306081856</v>
      </c>
      <c r="CX164" s="154">
        <v>7076.117658517581</v>
      </c>
      <c r="CY164" s="146">
        <v>52731</v>
      </c>
      <c r="CZ164" s="139">
        <v>32927</v>
      </c>
      <c r="DA164" s="139">
        <v>124759</v>
      </c>
      <c r="DB164" s="139">
        <v>-91832</v>
      </c>
      <c r="DC164" s="146">
        <v>73975</v>
      </c>
      <c r="DD164" s="146">
        <v>26511</v>
      </c>
      <c r="DE164" s="160"/>
      <c r="DG164" s="138">
        <v>-619</v>
      </c>
      <c r="DH164" s="138">
        <v>1227</v>
      </c>
      <c r="DI164" s="139">
        <v>9262</v>
      </c>
      <c r="DJ164" s="138">
        <v>6854</v>
      </c>
      <c r="DK164" s="139"/>
      <c r="DL164" s="139"/>
      <c r="DM164" s="139">
        <v>2408</v>
      </c>
      <c r="DN164" s="139">
        <v>99</v>
      </c>
      <c r="DO164" s="139"/>
      <c r="DP164" s="139"/>
      <c r="DQ164" s="138">
        <v>2507</v>
      </c>
      <c r="DR164" s="139">
        <v>22021</v>
      </c>
      <c r="DS164" s="139">
        <v>6881</v>
      </c>
      <c r="DT164" s="176"/>
      <c r="DU164" s="139">
        <v>-429</v>
      </c>
      <c r="DV164" s="151">
        <v>-5951</v>
      </c>
      <c r="DW164" s="138">
        <v>-2365</v>
      </c>
      <c r="DX164" s="138">
        <v>73975</v>
      </c>
      <c r="DY164" s="146">
        <v>66477</v>
      </c>
      <c r="DZ164" s="196">
        <v>2094</v>
      </c>
      <c r="EA164" s="146">
        <v>5404</v>
      </c>
      <c r="EB164" s="114">
        <v>19.75</v>
      </c>
      <c r="EC164" s="152"/>
      <c r="ED164" s="138">
        <v>69</v>
      </c>
      <c r="EE164" s="138">
        <v>51299</v>
      </c>
      <c r="EF164" s="138">
        <v>53666</v>
      </c>
      <c r="EG164" s="138">
        <v>56148</v>
      </c>
      <c r="EH164" s="138"/>
      <c r="EI164" s="138"/>
      <c r="EJ164" s="138"/>
      <c r="EK164" s="3">
        <v>-12025</v>
      </c>
      <c r="EL164" s="138">
        <v>1892</v>
      </c>
      <c r="EM164" s="138">
        <v>2615</v>
      </c>
      <c r="EN164" s="3">
        <v>-15968</v>
      </c>
      <c r="EO164" s="138">
        <v>553</v>
      </c>
      <c r="EP164" s="138">
        <v>1726</v>
      </c>
      <c r="EQ164" s="3">
        <v>-13894</v>
      </c>
      <c r="ER164" s="138">
        <v>2237</v>
      </c>
      <c r="ES164" s="138">
        <v>2411</v>
      </c>
      <c r="ET164" s="163"/>
      <c r="EU164" s="163">
        <v>5238</v>
      </c>
      <c r="EV164" s="138">
        <v>20000</v>
      </c>
      <c r="EW164" s="138">
        <v>-7140</v>
      </c>
      <c r="EX164" s="138"/>
      <c r="EY164" s="138">
        <v>10006</v>
      </c>
      <c r="EZ164" s="138">
        <v>45353</v>
      </c>
      <c r="FA164" s="138">
        <v>17871</v>
      </c>
      <c r="FB164" s="138">
        <v>27482</v>
      </c>
      <c r="FC164" s="138">
        <v>1721</v>
      </c>
      <c r="FD164" s="138">
        <v>53315</v>
      </c>
      <c r="FE164" s="138">
        <v>30920</v>
      </c>
      <c r="FF164" s="138">
        <v>22395</v>
      </c>
      <c r="FG164" s="138">
        <v>1658</v>
      </c>
      <c r="FH164" s="138">
        <v>57370</v>
      </c>
      <c r="FI164" s="138">
        <v>25087</v>
      </c>
      <c r="FJ164" s="138">
        <v>32283</v>
      </c>
      <c r="FK164" s="138">
        <v>1596</v>
      </c>
      <c r="FL164" s="147">
        <v>3789</v>
      </c>
      <c r="FM164" s="147">
        <v>4579.548784060943</v>
      </c>
      <c r="FO164" s="181">
        <f t="shared" si="6"/>
        <v>3365.9240506329115</v>
      </c>
      <c r="FP164" s="179">
        <f t="shared" si="8"/>
        <v>163.9195505324297</v>
      </c>
      <c r="FR164" s="184"/>
      <c r="FV164" s="184">
        <v>4931</v>
      </c>
      <c r="FW164" s="2">
        <f t="shared" si="7"/>
        <v>-4931</v>
      </c>
    </row>
    <row r="165" spans="1:179" ht="12.75">
      <c r="A165" s="183">
        <v>508</v>
      </c>
      <c r="B165" s="86" t="s">
        <v>384</v>
      </c>
      <c r="C165" s="191">
        <v>11308</v>
      </c>
      <c r="D165" s="146"/>
      <c r="E165" s="150">
        <v>-0.30959302325581395</v>
      </c>
      <c r="F165" s="150">
        <v>36.6</v>
      </c>
      <c r="G165" s="151">
        <v>-1973</v>
      </c>
      <c r="H165" s="152"/>
      <c r="I165" s="152"/>
      <c r="J165" s="152"/>
      <c r="K165" s="150">
        <v>56.4</v>
      </c>
      <c r="L165" s="151">
        <v>80</v>
      </c>
      <c r="M165" s="151">
        <v>4</v>
      </c>
      <c r="N165" s="154">
        <v>6826.3725950258095</v>
      </c>
      <c r="O165" s="146">
        <v>18399</v>
      </c>
      <c r="P165" s="139">
        <v>11031</v>
      </c>
      <c r="Q165" s="139">
        <v>69639</v>
      </c>
      <c r="R165" s="139">
        <v>-58608</v>
      </c>
      <c r="S165" s="146">
        <v>37428</v>
      </c>
      <c r="T165" s="139">
        <v>20710</v>
      </c>
      <c r="U165" s="160"/>
      <c r="W165" s="138">
        <v>-388</v>
      </c>
      <c r="X165" s="138">
        <v>168</v>
      </c>
      <c r="Y165" s="139">
        <v>-690</v>
      </c>
      <c r="Z165" s="138">
        <v>2368</v>
      </c>
      <c r="AC165" s="139">
        <v>-3058</v>
      </c>
      <c r="AD165" s="139">
        <v>4</v>
      </c>
      <c r="AG165" s="139">
        <v>-3054</v>
      </c>
      <c r="AH165" s="139">
        <v>-3028</v>
      </c>
      <c r="AI165" s="139">
        <v>-859</v>
      </c>
      <c r="AJ165" s="176"/>
      <c r="AK165" s="138">
        <v>17</v>
      </c>
      <c r="AL165" s="151">
        <v>-2013</v>
      </c>
      <c r="AM165" s="151">
        <v>-3361</v>
      </c>
      <c r="AN165" s="146">
        <v>37428</v>
      </c>
      <c r="AO165" s="139">
        <v>32936</v>
      </c>
      <c r="AP165" s="139">
        <v>2568</v>
      </c>
      <c r="AQ165" s="139">
        <v>1924</v>
      </c>
      <c r="AR165" s="114">
        <v>20.5</v>
      </c>
      <c r="AS165" s="152"/>
      <c r="AT165" s="138">
        <v>300</v>
      </c>
      <c r="AU165" s="191">
        <v>11122</v>
      </c>
      <c r="AV165" s="146"/>
      <c r="AW165" s="150">
        <v>-0.42209072978303747</v>
      </c>
      <c r="AX165" s="150">
        <v>41.2</v>
      </c>
      <c r="AY165" s="151">
        <v>-2430</v>
      </c>
      <c r="AZ165" s="152"/>
      <c r="BA165" s="152"/>
      <c r="BB165" s="152"/>
      <c r="BC165" s="150">
        <v>49.5</v>
      </c>
      <c r="BD165" s="151">
        <v>49</v>
      </c>
      <c r="BE165" s="151">
        <v>3</v>
      </c>
      <c r="BF165" s="154">
        <v>7090.721093328538</v>
      </c>
      <c r="BG165" s="146">
        <v>19374</v>
      </c>
      <c r="BH165" s="139">
        <v>10445</v>
      </c>
      <c r="BI165" s="139">
        <v>72531</v>
      </c>
      <c r="BJ165" s="139">
        <v>-62086</v>
      </c>
      <c r="BK165" s="146">
        <v>37615</v>
      </c>
      <c r="BL165" s="146">
        <v>23215</v>
      </c>
      <c r="BM165" s="160"/>
      <c r="BO165" s="138">
        <v>-365</v>
      </c>
      <c r="BP165" s="138">
        <v>185</v>
      </c>
      <c r="BQ165" s="139">
        <v>-1436</v>
      </c>
      <c r="BR165" s="138">
        <v>2461</v>
      </c>
      <c r="BU165" s="139">
        <v>-3897</v>
      </c>
      <c r="BV165" s="139">
        <v>4</v>
      </c>
      <c r="BY165" s="138">
        <v>-3893</v>
      </c>
      <c r="BZ165" s="139">
        <v>-6921</v>
      </c>
      <c r="CA165" s="139">
        <v>-1623</v>
      </c>
      <c r="CB165" s="176"/>
      <c r="CC165" s="138">
        <v>306</v>
      </c>
      <c r="CD165" s="151">
        <v>-2169</v>
      </c>
      <c r="CE165" s="151">
        <v>-4749</v>
      </c>
      <c r="CF165" s="138">
        <v>37615</v>
      </c>
      <c r="CG165" s="139">
        <v>34021</v>
      </c>
      <c r="CH165" s="139">
        <v>1263</v>
      </c>
      <c r="CI165" s="139">
        <v>2331</v>
      </c>
      <c r="CJ165" s="114">
        <v>21</v>
      </c>
      <c r="CK165" s="152"/>
      <c r="CL165" s="138">
        <v>289</v>
      </c>
      <c r="CM165" s="190">
        <v>10898</v>
      </c>
      <c r="CN165" s="146"/>
      <c r="CO165" s="150">
        <v>0.6535864441330106</v>
      </c>
      <c r="CP165" s="150">
        <v>35.685220260279834</v>
      </c>
      <c r="CQ165" s="151">
        <v>-2243.897962928978</v>
      </c>
      <c r="CR165" s="152"/>
      <c r="CS165" s="152"/>
      <c r="CT165" s="152"/>
      <c r="CU165" s="150">
        <v>53.83052542743725</v>
      </c>
      <c r="CV165" s="151">
        <v>77.62892273811708</v>
      </c>
      <c r="CW165" s="151">
        <v>3.3912842928372178</v>
      </c>
      <c r="CX165" s="154">
        <v>8355.111029546706</v>
      </c>
      <c r="CY165" s="146">
        <v>19749</v>
      </c>
      <c r="CZ165" s="139">
        <v>15745</v>
      </c>
      <c r="DA165" s="139">
        <v>76831</v>
      </c>
      <c r="DB165" s="139">
        <v>-61086</v>
      </c>
      <c r="DC165" s="146">
        <v>41160</v>
      </c>
      <c r="DD165" s="146">
        <v>24930</v>
      </c>
      <c r="DE165" s="160"/>
      <c r="DG165" s="138">
        <v>-273</v>
      </c>
      <c r="DH165" s="138">
        <v>86</v>
      </c>
      <c r="DI165" s="139">
        <v>4817</v>
      </c>
      <c r="DJ165" s="138">
        <v>2612</v>
      </c>
      <c r="DK165" s="138">
        <v>3290</v>
      </c>
      <c r="DM165" s="139">
        <v>5495</v>
      </c>
      <c r="DN165" s="139">
        <v>4</v>
      </c>
      <c r="DQ165" s="138">
        <v>5499</v>
      </c>
      <c r="DR165" s="139">
        <v>-1422</v>
      </c>
      <c r="DS165" s="139">
        <v>4592</v>
      </c>
      <c r="DT165" s="176"/>
      <c r="DU165" s="138">
        <v>1033</v>
      </c>
      <c r="DV165" s="151">
        <v>-7536</v>
      </c>
      <c r="DW165" s="138">
        <v>5810</v>
      </c>
      <c r="DX165" s="138">
        <v>41160</v>
      </c>
      <c r="DY165" s="146">
        <v>37288</v>
      </c>
      <c r="DZ165" s="196">
        <v>1428</v>
      </c>
      <c r="EA165" s="146">
        <v>2444</v>
      </c>
      <c r="EB165" s="114">
        <v>22</v>
      </c>
      <c r="EC165" s="152"/>
      <c r="ED165" s="138">
        <v>73</v>
      </c>
      <c r="EE165" s="138">
        <v>46555</v>
      </c>
      <c r="EF165" s="138">
        <v>47733</v>
      </c>
      <c r="EG165" s="138">
        <v>47672</v>
      </c>
      <c r="EH165" s="138"/>
      <c r="EI165" s="138">
        <v>1400</v>
      </c>
      <c r="EJ165" s="138">
        <v>1000</v>
      </c>
      <c r="EK165" s="3">
        <v>-2975</v>
      </c>
      <c r="EL165" s="138">
        <v>75</v>
      </c>
      <c r="EM165" s="138">
        <v>398</v>
      </c>
      <c r="EN165" s="3">
        <v>-3795</v>
      </c>
      <c r="EO165" s="138">
        <v>22</v>
      </c>
      <c r="EP165" s="138">
        <v>647</v>
      </c>
      <c r="EQ165" s="3">
        <v>-2816</v>
      </c>
      <c r="ER165" s="138">
        <v>147</v>
      </c>
      <c r="ES165" s="138">
        <v>3887</v>
      </c>
      <c r="ET165" s="163">
        <v>5000</v>
      </c>
      <c r="EU165" s="163">
        <v>-1000</v>
      </c>
      <c r="EV165" s="138">
        <v>10000</v>
      </c>
      <c r="EW165" s="138">
        <v>-4000</v>
      </c>
      <c r="EX165" s="138"/>
      <c r="EY165" s="138">
        <v>8000</v>
      </c>
      <c r="EZ165" s="138">
        <v>19151</v>
      </c>
      <c r="FA165" s="138">
        <v>8482</v>
      </c>
      <c r="FB165" s="138">
        <v>10669</v>
      </c>
      <c r="FC165" s="138">
        <v>17</v>
      </c>
      <c r="FD165" s="138">
        <v>22982</v>
      </c>
      <c r="FE165" s="138">
        <v>10447</v>
      </c>
      <c r="FF165" s="138">
        <v>12535</v>
      </c>
      <c r="FG165" s="138">
        <v>17</v>
      </c>
      <c r="FH165" s="138">
        <v>23445</v>
      </c>
      <c r="FI165" s="138">
        <v>7918</v>
      </c>
      <c r="FJ165" s="138">
        <v>15527</v>
      </c>
      <c r="FK165" s="138">
        <v>3517</v>
      </c>
      <c r="FL165" s="147">
        <v>3456</v>
      </c>
      <c r="FM165" s="147">
        <v>3716.417910447761</v>
      </c>
      <c r="FO165" s="181">
        <f t="shared" si="6"/>
        <v>1694.909090909091</v>
      </c>
      <c r="FP165" s="179">
        <f t="shared" si="8"/>
        <v>155.5247835299221</v>
      </c>
      <c r="FR165" s="184"/>
      <c r="FV165" s="184">
        <v>2013</v>
      </c>
      <c r="FW165" s="2">
        <f t="shared" si="7"/>
        <v>-2013</v>
      </c>
    </row>
    <row r="166" spans="1:179" ht="12.75">
      <c r="A166" s="82">
        <v>507</v>
      </c>
      <c r="B166" s="80" t="s">
        <v>162</v>
      </c>
      <c r="C166" s="191">
        <v>6393</v>
      </c>
      <c r="D166" s="146"/>
      <c r="E166" s="150">
        <v>0.6236979166666666</v>
      </c>
      <c r="F166" s="150">
        <v>53.4</v>
      </c>
      <c r="G166" s="151">
        <v>-2589</v>
      </c>
      <c r="H166" s="152"/>
      <c r="I166" s="152"/>
      <c r="J166" s="152"/>
      <c r="K166" s="150">
        <v>39.5</v>
      </c>
      <c r="L166" s="151">
        <v>82</v>
      </c>
      <c r="M166" s="151">
        <v>4</v>
      </c>
      <c r="N166" s="154">
        <v>6209.368872873722</v>
      </c>
      <c r="O166" s="146">
        <v>19633</v>
      </c>
      <c r="P166" s="139">
        <v>7126</v>
      </c>
      <c r="Q166" s="139">
        <v>40904</v>
      </c>
      <c r="R166" s="139">
        <v>-33778</v>
      </c>
      <c r="S166" s="146">
        <v>18231</v>
      </c>
      <c r="T166" s="139">
        <v>15596</v>
      </c>
      <c r="U166" s="160"/>
      <c r="W166" s="138">
        <v>-299</v>
      </c>
      <c r="X166" s="138">
        <v>289</v>
      </c>
      <c r="Y166" s="139">
        <v>39</v>
      </c>
      <c r="Z166" s="138">
        <v>1365</v>
      </c>
      <c r="AB166" s="139"/>
      <c r="AC166" s="139">
        <v>-1326</v>
      </c>
      <c r="AD166" s="139"/>
      <c r="AE166" s="139"/>
      <c r="AG166" s="139">
        <v>-1326</v>
      </c>
      <c r="AH166" s="139">
        <v>-725</v>
      </c>
      <c r="AI166" s="139">
        <v>-196</v>
      </c>
      <c r="AJ166" s="176"/>
      <c r="AK166" s="139">
        <v>-1866</v>
      </c>
      <c r="AL166" s="151">
        <v>-328</v>
      </c>
      <c r="AM166" s="151">
        <v>-2961</v>
      </c>
      <c r="AN166" s="146">
        <v>18231</v>
      </c>
      <c r="AO166" s="139">
        <v>14225</v>
      </c>
      <c r="AP166" s="139">
        <v>2101</v>
      </c>
      <c r="AQ166" s="139">
        <v>1905</v>
      </c>
      <c r="AR166" s="114">
        <v>19</v>
      </c>
      <c r="AS166" s="152"/>
      <c r="AT166" s="138">
        <v>283</v>
      </c>
      <c r="AU166" s="191">
        <v>6356</v>
      </c>
      <c r="AV166" s="146"/>
      <c r="AW166" s="150">
        <v>2.4164502164502166</v>
      </c>
      <c r="AX166" s="150">
        <v>49.4</v>
      </c>
      <c r="AY166" s="151">
        <v>-2333</v>
      </c>
      <c r="AZ166" s="152"/>
      <c r="BA166" s="152"/>
      <c r="BB166" s="152"/>
      <c r="BC166" s="150">
        <v>41.5</v>
      </c>
      <c r="BD166" s="151">
        <v>347</v>
      </c>
      <c r="BE166" s="151">
        <v>19</v>
      </c>
      <c r="BF166" s="154">
        <v>6778.949024543738</v>
      </c>
      <c r="BG166" s="146">
        <v>19787</v>
      </c>
      <c r="BH166" s="139">
        <v>7252</v>
      </c>
      <c r="BI166" s="139">
        <v>40547</v>
      </c>
      <c r="BJ166" s="139">
        <v>-33295</v>
      </c>
      <c r="BK166" s="146">
        <v>19023</v>
      </c>
      <c r="BL166" s="146">
        <v>16807</v>
      </c>
      <c r="BM166" s="160"/>
      <c r="BO166" s="138">
        <v>-339</v>
      </c>
      <c r="BP166" s="138">
        <v>222</v>
      </c>
      <c r="BQ166" s="139">
        <v>2418</v>
      </c>
      <c r="BR166" s="138">
        <v>1267</v>
      </c>
      <c r="BT166" s="139"/>
      <c r="BU166" s="139">
        <v>1151</v>
      </c>
      <c r="BV166" s="139"/>
      <c r="BW166" s="139"/>
      <c r="BY166" s="138">
        <v>1151</v>
      </c>
      <c r="BZ166" s="139">
        <v>427</v>
      </c>
      <c r="CA166" s="139">
        <v>2018</v>
      </c>
      <c r="CB166" s="176"/>
      <c r="CC166" s="139">
        <v>532</v>
      </c>
      <c r="CD166" s="151">
        <v>-782</v>
      </c>
      <c r="CE166" s="151">
        <v>1504</v>
      </c>
      <c r="CF166" s="138">
        <v>19023</v>
      </c>
      <c r="CG166" s="139">
        <v>15335</v>
      </c>
      <c r="CH166" s="139">
        <v>1485</v>
      </c>
      <c r="CI166" s="139">
        <v>2203</v>
      </c>
      <c r="CJ166" s="114">
        <v>19.75</v>
      </c>
      <c r="CK166" s="152"/>
      <c r="CL166" s="138">
        <v>45</v>
      </c>
      <c r="CM166" s="190">
        <v>6287</v>
      </c>
      <c r="CN166" s="146"/>
      <c r="CO166" s="150">
        <v>2.367003367003367</v>
      </c>
      <c r="CP166" s="150">
        <v>47.66557111341227</v>
      </c>
      <c r="CQ166" s="151">
        <v>-2406.8713217750915</v>
      </c>
      <c r="CR166" s="152"/>
      <c r="CS166" s="152"/>
      <c r="CT166" s="152"/>
      <c r="CU166" s="150">
        <v>45.38946442533229</v>
      </c>
      <c r="CV166" s="151">
        <v>443.1366311436297</v>
      </c>
      <c r="CW166" s="151">
        <v>21.452470359900424</v>
      </c>
      <c r="CX166" s="154">
        <v>7539.685064418642</v>
      </c>
      <c r="CY166" s="146">
        <v>19225</v>
      </c>
      <c r="CZ166" s="139">
        <v>6665</v>
      </c>
      <c r="DA166" s="139">
        <v>41172</v>
      </c>
      <c r="DB166" s="139">
        <v>-34507</v>
      </c>
      <c r="DC166" s="146">
        <v>19812</v>
      </c>
      <c r="DD166" s="146">
        <v>17945</v>
      </c>
      <c r="DE166" s="160"/>
      <c r="DG166" s="138">
        <v>-327</v>
      </c>
      <c r="DH166" s="138">
        <v>253</v>
      </c>
      <c r="DI166" s="139">
        <v>3176</v>
      </c>
      <c r="DJ166" s="138">
        <v>1084</v>
      </c>
      <c r="DK166" s="138">
        <v>559</v>
      </c>
      <c r="DL166" s="139"/>
      <c r="DM166" s="139">
        <v>2651</v>
      </c>
      <c r="DN166" s="139"/>
      <c r="DO166" s="139"/>
      <c r="DQ166" s="138">
        <v>2651</v>
      </c>
      <c r="DR166" s="139">
        <v>3078</v>
      </c>
      <c r="DS166" s="139">
        <v>3554</v>
      </c>
      <c r="DT166" s="176"/>
      <c r="DU166" s="139">
        <v>986</v>
      </c>
      <c r="DV166" s="151">
        <v>-1146</v>
      </c>
      <c r="DW166" s="138">
        <v>-297</v>
      </c>
      <c r="DX166" s="138">
        <v>19812</v>
      </c>
      <c r="DY166" s="146">
        <v>15789</v>
      </c>
      <c r="DZ166" s="196">
        <v>1723</v>
      </c>
      <c r="EA166" s="146">
        <v>2300</v>
      </c>
      <c r="EB166" s="114">
        <v>19.75</v>
      </c>
      <c r="EC166" s="152"/>
      <c r="ED166" s="138">
        <v>59</v>
      </c>
      <c r="EE166" s="138">
        <v>16863</v>
      </c>
      <c r="EF166" s="138">
        <v>16269</v>
      </c>
      <c r="EG166" s="138">
        <v>17309</v>
      </c>
      <c r="EH166" s="138"/>
      <c r="EI166" s="138"/>
      <c r="EJ166" s="138"/>
      <c r="EK166" s="3">
        <v>-5516</v>
      </c>
      <c r="EL166" s="138">
        <v>2284</v>
      </c>
      <c r="EM166" s="138">
        <v>467</v>
      </c>
      <c r="EN166" s="3">
        <v>-1350</v>
      </c>
      <c r="EO166" s="138"/>
      <c r="EP166" s="138">
        <v>836</v>
      </c>
      <c r="EQ166" s="3">
        <v>-4683</v>
      </c>
      <c r="ER166" s="138">
        <v>272</v>
      </c>
      <c r="ES166" s="138">
        <v>560</v>
      </c>
      <c r="ET166" s="163">
        <v>3800</v>
      </c>
      <c r="EU166" s="163">
        <v>1350</v>
      </c>
      <c r="EV166" s="138">
        <v>5000</v>
      </c>
      <c r="EW166" s="138">
        <v>-5100</v>
      </c>
      <c r="EX166" s="138"/>
      <c r="EY166" s="138">
        <v>1300</v>
      </c>
      <c r="EZ166" s="138">
        <v>16660</v>
      </c>
      <c r="FA166" s="138">
        <v>6906</v>
      </c>
      <c r="FB166" s="138">
        <v>9754</v>
      </c>
      <c r="FC166" s="138">
        <v>1578</v>
      </c>
      <c r="FD166" s="138">
        <v>15778</v>
      </c>
      <c r="FE166" s="138">
        <v>10632</v>
      </c>
      <c r="FF166" s="138">
        <v>5146</v>
      </c>
      <c r="FG166" s="138">
        <v>1490</v>
      </c>
      <c r="FH166" s="138">
        <v>15933</v>
      </c>
      <c r="FI166" s="138">
        <v>9473</v>
      </c>
      <c r="FJ166" s="138">
        <v>6460</v>
      </c>
      <c r="FK166" s="138">
        <v>1442</v>
      </c>
      <c r="FL166" s="147">
        <v>4406</v>
      </c>
      <c r="FM166" s="147">
        <v>4187.539332913782</v>
      </c>
      <c r="FO166" s="181">
        <f t="shared" si="6"/>
        <v>799.4430379746835</v>
      </c>
      <c r="FP166" s="179">
        <f t="shared" si="8"/>
        <v>127.1581100643683</v>
      </c>
      <c r="FR166" s="184"/>
      <c r="FV166" s="184">
        <v>328</v>
      </c>
      <c r="FW166" s="2">
        <f t="shared" si="7"/>
        <v>-328</v>
      </c>
    </row>
    <row r="167" spans="1:179" ht="12.75">
      <c r="A167" s="82">
        <v>529</v>
      </c>
      <c r="B167" s="80" t="s">
        <v>163</v>
      </c>
      <c r="C167" s="191">
        <v>18871</v>
      </c>
      <c r="D167" s="146"/>
      <c r="E167" s="150">
        <v>5.03353057199211</v>
      </c>
      <c r="F167" s="150">
        <v>52.3</v>
      </c>
      <c r="G167" s="151">
        <v>-2730</v>
      </c>
      <c r="H167" s="152"/>
      <c r="I167" s="152"/>
      <c r="J167" s="152"/>
      <c r="K167" s="150">
        <v>58.5</v>
      </c>
      <c r="L167" s="151">
        <v>154</v>
      </c>
      <c r="M167" s="151">
        <v>8</v>
      </c>
      <c r="N167" s="154">
        <v>7328.719723183391</v>
      </c>
      <c r="O167" s="146">
        <v>51701</v>
      </c>
      <c r="P167" s="139">
        <v>34862</v>
      </c>
      <c r="Q167" s="139">
        <v>113321</v>
      </c>
      <c r="R167" s="139">
        <v>-78459</v>
      </c>
      <c r="S167" s="146">
        <v>68036</v>
      </c>
      <c r="T167" s="139">
        <v>16941</v>
      </c>
      <c r="U167" s="160"/>
      <c r="W167" s="138">
        <v>-366</v>
      </c>
      <c r="X167" s="138">
        <v>718</v>
      </c>
      <c r="Y167" s="139">
        <v>6870</v>
      </c>
      <c r="Z167" s="138">
        <v>10206</v>
      </c>
      <c r="AB167" s="138">
        <v>190</v>
      </c>
      <c r="AC167" s="139">
        <v>-3526</v>
      </c>
      <c r="AD167" s="138">
        <v>59</v>
      </c>
      <c r="AG167" s="139">
        <v>-3467</v>
      </c>
      <c r="AH167" s="139">
        <v>35039</v>
      </c>
      <c r="AI167" s="139">
        <v>5167</v>
      </c>
      <c r="AJ167" s="176"/>
      <c r="AK167" s="139">
        <v>-1016</v>
      </c>
      <c r="AL167" s="151">
        <v>-735</v>
      </c>
      <c r="AM167" s="151">
        <v>-2967</v>
      </c>
      <c r="AN167" s="146">
        <v>68036</v>
      </c>
      <c r="AO167" s="139">
        <v>56644</v>
      </c>
      <c r="AP167" s="139">
        <v>6565</v>
      </c>
      <c r="AQ167" s="139">
        <v>4827</v>
      </c>
      <c r="AR167" s="114">
        <v>17.25</v>
      </c>
      <c r="AS167" s="152"/>
      <c r="AT167" s="138">
        <v>88</v>
      </c>
      <c r="AU167" s="191">
        <v>18824</v>
      </c>
      <c r="AV167" s="146"/>
      <c r="AW167" s="150">
        <v>5.353016688061618</v>
      </c>
      <c r="AX167" s="150">
        <v>59.7</v>
      </c>
      <c r="AY167" s="151">
        <v>-3016</v>
      </c>
      <c r="AZ167" s="152"/>
      <c r="BA167" s="152"/>
      <c r="BB167" s="152"/>
      <c r="BC167" s="150">
        <v>53.6</v>
      </c>
      <c r="BD167" s="151">
        <v>384</v>
      </c>
      <c r="BE167" s="151">
        <v>21</v>
      </c>
      <c r="BF167" s="154">
        <v>6681.948576285593</v>
      </c>
      <c r="BG167" s="146">
        <v>53383</v>
      </c>
      <c r="BH167" s="139">
        <v>29720</v>
      </c>
      <c r="BI167" s="139">
        <v>115322</v>
      </c>
      <c r="BJ167" s="139">
        <v>-85602</v>
      </c>
      <c r="BK167" s="146">
        <v>70349</v>
      </c>
      <c r="BL167" s="146">
        <v>18526</v>
      </c>
      <c r="BM167" s="160"/>
      <c r="BO167" s="138">
        <v>-283</v>
      </c>
      <c r="BP167" s="138">
        <v>809</v>
      </c>
      <c r="BQ167" s="139">
        <v>3799</v>
      </c>
      <c r="BR167" s="138">
        <v>10499</v>
      </c>
      <c r="BS167" s="138">
        <v>321</v>
      </c>
      <c r="BU167" s="139">
        <v>-6379</v>
      </c>
      <c r="BV167" s="138">
        <v>59</v>
      </c>
      <c r="BY167" s="138">
        <v>-6320</v>
      </c>
      <c r="BZ167" s="139">
        <v>28819</v>
      </c>
      <c r="CA167" s="139">
        <v>2324</v>
      </c>
      <c r="CB167" s="176"/>
      <c r="CC167" s="139">
        <v>-1452</v>
      </c>
      <c r="CD167" s="151">
        <v>-408</v>
      </c>
      <c r="CE167" s="151">
        <v>-3763</v>
      </c>
      <c r="CF167" s="138">
        <v>70349</v>
      </c>
      <c r="CG167" s="139">
        <v>58494</v>
      </c>
      <c r="CH167" s="139">
        <v>6533</v>
      </c>
      <c r="CI167" s="139">
        <v>5322</v>
      </c>
      <c r="CJ167" s="114">
        <v>17.75</v>
      </c>
      <c r="CK167" s="152"/>
      <c r="CL167" s="138">
        <v>115</v>
      </c>
      <c r="CM167" s="190">
        <v>18859</v>
      </c>
      <c r="CN167" s="146"/>
      <c r="CO167" s="150">
        <v>25.85892857142857</v>
      </c>
      <c r="CP167" s="150">
        <v>45.004369356248176</v>
      </c>
      <c r="CQ167" s="151">
        <v>-2641.4444032027145</v>
      </c>
      <c r="CR167" s="152"/>
      <c r="CS167" s="152"/>
      <c r="CT167" s="152"/>
      <c r="CU167" s="150">
        <v>59.02764083908476</v>
      </c>
      <c r="CV167" s="151">
        <v>140.19831380242857</v>
      </c>
      <c r="CW167" s="151">
        <v>7.544718243792607</v>
      </c>
      <c r="CX167" s="154">
        <v>6782.544143379819</v>
      </c>
      <c r="CY167" s="146">
        <v>54571</v>
      </c>
      <c r="CZ167" s="139">
        <v>32356</v>
      </c>
      <c r="DA167" s="139">
        <v>116929</v>
      </c>
      <c r="DB167" s="139">
        <v>-84573</v>
      </c>
      <c r="DC167" s="146">
        <v>78267</v>
      </c>
      <c r="DD167" s="146">
        <v>19987</v>
      </c>
      <c r="DE167" s="160"/>
      <c r="DG167" s="138">
        <v>-138</v>
      </c>
      <c r="DH167" s="138">
        <v>682</v>
      </c>
      <c r="DI167" s="139">
        <v>14225</v>
      </c>
      <c r="DJ167" s="138">
        <v>10349</v>
      </c>
      <c r="DL167" s="138">
        <v>25</v>
      </c>
      <c r="DM167" s="139">
        <v>3851</v>
      </c>
      <c r="DN167" s="138">
        <v>279</v>
      </c>
      <c r="DQ167" s="138">
        <v>4130</v>
      </c>
      <c r="DR167" s="139">
        <v>33179</v>
      </c>
      <c r="DS167" s="139">
        <v>11933</v>
      </c>
      <c r="DT167" s="176"/>
      <c r="DU167" s="139">
        <v>2517</v>
      </c>
      <c r="DV167" s="151">
        <v>-304</v>
      </c>
      <c r="DW167" s="138">
        <v>4759</v>
      </c>
      <c r="DX167" s="138">
        <v>78267</v>
      </c>
      <c r="DY167" s="146">
        <v>65836</v>
      </c>
      <c r="DZ167" s="196">
        <v>6885</v>
      </c>
      <c r="EA167" s="146">
        <v>5546</v>
      </c>
      <c r="EB167" s="114">
        <v>18.5</v>
      </c>
      <c r="EC167" s="152"/>
      <c r="ED167" s="138">
        <v>17</v>
      </c>
      <c r="EE167" s="138">
        <v>40369</v>
      </c>
      <c r="EF167" s="138">
        <v>42743</v>
      </c>
      <c r="EG167" s="138">
        <v>43538</v>
      </c>
      <c r="EH167" s="138"/>
      <c r="EI167" s="138"/>
      <c r="EJ167" s="138"/>
      <c r="EK167" s="3">
        <v>-10780</v>
      </c>
      <c r="EL167" s="138">
        <v>723</v>
      </c>
      <c r="EM167" s="138">
        <v>1923</v>
      </c>
      <c r="EN167" s="3">
        <v>-8154</v>
      </c>
      <c r="EO167" s="138">
        <v>170</v>
      </c>
      <c r="EP167" s="138">
        <v>1897</v>
      </c>
      <c r="EQ167" s="3">
        <v>-10521</v>
      </c>
      <c r="ER167" s="138">
        <v>330</v>
      </c>
      <c r="ES167" s="138">
        <v>3017</v>
      </c>
      <c r="ET167" s="163"/>
      <c r="EU167" s="163">
        <v>4000</v>
      </c>
      <c r="EV167" s="138"/>
      <c r="EW167" s="138">
        <v>8000</v>
      </c>
      <c r="EX167" s="138"/>
      <c r="EY167" s="138">
        <v>-12000</v>
      </c>
      <c r="EZ167" s="138">
        <v>42190</v>
      </c>
      <c r="FA167" s="138">
        <v>1782</v>
      </c>
      <c r="FB167" s="138">
        <v>40408</v>
      </c>
      <c r="FC167" s="138">
        <v>1144</v>
      </c>
      <c r="FD167" s="138">
        <v>49783</v>
      </c>
      <c r="FE167" s="138">
        <v>1479</v>
      </c>
      <c r="FF167" s="138">
        <v>48304</v>
      </c>
      <c r="FG167" s="138">
        <v>2764</v>
      </c>
      <c r="FH167" s="138">
        <v>37478</v>
      </c>
      <c r="FI167" s="138">
        <v>1225</v>
      </c>
      <c r="FJ167" s="138">
        <v>36253</v>
      </c>
      <c r="FK167" s="138">
        <v>2764</v>
      </c>
      <c r="FL167" s="147">
        <v>5009</v>
      </c>
      <c r="FM167" s="147">
        <v>5432.6391840204</v>
      </c>
      <c r="FO167" s="181">
        <f t="shared" si="6"/>
        <v>3558.7027027027025</v>
      </c>
      <c r="FP167" s="179">
        <f t="shared" si="8"/>
        <v>188.7004985790711</v>
      </c>
      <c r="FR167" s="184"/>
      <c r="FV167" s="184">
        <v>735</v>
      </c>
      <c r="FW167" s="2">
        <f t="shared" si="7"/>
        <v>-735</v>
      </c>
    </row>
    <row r="168" spans="1:179" ht="12.75">
      <c r="A168" s="82">
        <v>531</v>
      </c>
      <c r="B168" s="80" t="s">
        <v>164</v>
      </c>
      <c r="C168" s="191">
        <v>5780</v>
      </c>
      <c r="D168" s="146"/>
      <c r="E168" s="150">
        <v>2.302425106990014</v>
      </c>
      <c r="F168" s="150">
        <v>18.8</v>
      </c>
      <c r="G168" s="151">
        <v>-398</v>
      </c>
      <c r="H168" s="152"/>
      <c r="I168" s="152"/>
      <c r="J168" s="152"/>
      <c r="K168" s="150">
        <v>73.4</v>
      </c>
      <c r="L168" s="151">
        <v>365</v>
      </c>
      <c r="M168" s="151">
        <v>24</v>
      </c>
      <c r="N168" s="154">
        <v>6022.093564916483</v>
      </c>
      <c r="O168" s="146">
        <v>12410</v>
      </c>
      <c r="P168" s="139">
        <v>3719</v>
      </c>
      <c r="Q168" s="139">
        <v>30231</v>
      </c>
      <c r="R168" s="139">
        <v>-26512</v>
      </c>
      <c r="S168" s="146">
        <v>17190</v>
      </c>
      <c r="T168" s="139">
        <v>10536</v>
      </c>
      <c r="U168" s="160"/>
      <c r="W168" s="138">
        <v>11</v>
      </c>
      <c r="X168" s="138">
        <v>90</v>
      </c>
      <c r="Y168" s="139">
        <v>1315</v>
      </c>
      <c r="Z168" s="138">
        <v>1239</v>
      </c>
      <c r="AC168" s="139">
        <v>76</v>
      </c>
      <c r="AD168" s="138">
        <v>37</v>
      </c>
      <c r="AE168" s="138">
        <v>71</v>
      </c>
      <c r="AG168" s="139">
        <v>184</v>
      </c>
      <c r="AH168" s="139">
        <v>3871</v>
      </c>
      <c r="AI168" s="139">
        <v>1209</v>
      </c>
      <c r="AJ168" s="176"/>
      <c r="AK168" s="139">
        <v>16</v>
      </c>
      <c r="AL168" s="151">
        <v>-402</v>
      </c>
      <c r="AM168" s="151">
        <v>-302</v>
      </c>
      <c r="AN168" s="146">
        <v>17190</v>
      </c>
      <c r="AO168" s="139">
        <v>15296</v>
      </c>
      <c r="AP168" s="139">
        <v>937</v>
      </c>
      <c r="AQ168" s="139">
        <v>957</v>
      </c>
      <c r="AR168" s="114">
        <v>19.75</v>
      </c>
      <c r="AS168" s="152"/>
      <c r="AT168" s="138">
        <v>183</v>
      </c>
      <c r="AU168" s="191">
        <v>5747</v>
      </c>
      <c r="AV168" s="146"/>
      <c r="AW168" s="150">
        <v>-0.1050228310502283</v>
      </c>
      <c r="AX168" s="150">
        <v>25.4</v>
      </c>
      <c r="AY168" s="151">
        <v>-779</v>
      </c>
      <c r="AZ168" s="152"/>
      <c r="BA168" s="152"/>
      <c r="BB168" s="152"/>
      <c r="BC168" s="150">
        <v>65.2</v>
      </c>
      <c r="BD168" s="151">
        <v>396</v>
      </c>
      <c r="BE168" s="151">
        <v>24</v>
      </c>
      <c r="BF168" s="154">
        <v>6018.270401948843</v>
      </c>
      <c r="BG168" s="146">
        <v>12805</v>
      </c>
      <c r="BH168" s="139">
        <v>3722</v>
      </c>
      <c r="BI168" s="139">
        <v>31816</v>
      </c>
      <c r="BJ168" s="139">
        <v>-28094</v>
      </c>
      <c r="BK168" s="146">
        <v>17012</v>
      </c>
      <c r="BL168" s="146">
        <v>10931</v>
      </c>
      <c r="BM168" s="160"/>
      <c r="BO168" s="138">
        <v>3</v>
      </c>
      <c r="BP168" s="138">
        <v>64</v>
      </c>
      <c r="BQ168" s="139">
        <v>-84</v>
      </c>
      <c r="BR168" s="138">
        <v>1287</v>
      </c>
      <c r="BU168" s="139">
        <v>-1371</v>
      </c>
      <c r="BV168" s="138">
        <v>36</v>
      </c>
      <c r="BY168" s="138">
        <v>-1335</v>
      </c>
      <c r="BZ168" s="139">
        <v>2536</v>
      </c>
      <c r="CA168" s="139">
        <v>-162</v>
      </c>
      <c r="CB168" s="176"/>
      <c r="CC168" s="139">
        <v>208</v>
      </c>
      <c r="CD168" s="151">
        <v>-400</v>
      </c>
      <c r="CE168" s="151">
        <v>-2299</v>
      </c>
      <c r="CF168" s="138">
        <v>17012</v>
      </c>
      <c r="CG168" s="139">
        <v>15386</v>
      </c>
      <c r="CH168" s="139">
        <v>509</v>
      </c>
      <c r="CI168" s="139">
        <v>1117</v>
      </c>
      <c r="CJ168" s="114">
        <v>19.75</v>
      </c>
      <c r="CK168" s="152"/>
      <c r="CL168" s="138">
        <v>249</v>
      </c>
      <c r="CM168" s="190">
        <v>5706</v>
      </c>
      <c r="CN168" s="146"/>
      <c r="CO168" s="150">
        <v>1.572093023255814</v>
      </c>
      <c r="CP168" s="150">
        <v>30.535772333697803</v>
      </c>
      <c r="CQ168" s="151">
        <v>-966.3512092534174</v>
      </c>
      <c r="CR168" s="152"/>
      <c r="CS168" s="152"/>
      <c r="CT168" s="152"/>
      <c r="CU168" s="150">
        <v>59.03071618868516</v>
      </c>
      <c r="CV168" s="151">
        <v>653.5226077812829</v>
      </c>
      <c r="CW168" s="151">
        <v>38.072307692307696</v>
      </c>
      <c r="CX168" s="154">
        <v>6265.334735366281</v>
      </c>
      <c r="CY168" s="146">
        <v>13098</v>
      </c>
      <c r="CZ168" s="139">
        <v>3808</v>
      </c>
      <c r="DA168" s="139">
        <v>32901</v>
      </c>
      <c r="DB168" s="139">
        <v>-29093</v>
      </c>
      <c r="DC168" s="146">
        <v>18544</v>
      </c>
      <c r="DD168" s="146">
        <v>11487</v>
      </c>
      <c r="DE168" s="160"/>
      <c r="DG168" s="138">
        <v>-15</v>
      </c>
      <c r="DH168" s="138">
        <v>46</v>
      </c>
      <c r="DI168" s="139">
        <v>969</v>
      </c>
      <c r="DJ168" s="138">
        <v>1259</v>
      </c>
      <c r="DM168" s="139">
        <v>-290</v>
      </c>
      <c r="DN168" s="138">
        <v>35</v>
      </c>
      <c r="DQ168" s="138">
        <v>-255</v>
      </c>
      <c r="DR168" s="139">
        <v>2281</v>
      </c>
      <c r="DS168" s="139">
        <v>836</v>
      </c>
      <c r="DT168" s="176"/>
      <c r="DU168" s="139">
        <v>214</v>
      </c>
      <c r="DV168" s="151">
        <v>-600</v>
      </c>
      <c r="DW168" s="138">
        <v>-1155</v>
      </c>
      <c r="DX168" s="138">
        <v>18544</v>
      </c>
      <c r="DY168" s="146">
        <v>16949</v>
      </c>
      <c r="DZ168" s="196">
        <v>448</v>
      </c>
      <c r="EA168" s="146">
        <v>1147</v>
      </c>
      <c r="EB168" s="114">
        <v>20.25</v>
      </c>
      <c r="EC168" s="152"/>
      <c r="ED168" s="138">
        <v>221</v>
      </c>
      <c r="EE168" s="138">
        <v>14375</v>
      </c>
      <c r="EF168" s="138">
        <v>15465</v>
      </c>
      <c r="EG168" s="138">
        <v>16237</v>
      </c>
      <c r="EH168" s="138"/>
      <c r="EI168" s="138"/>
      <c r="EJ168" s="138"/>
      <c r="EK168" s="3">
        <v>-1822</v>
      </c>
      <c r="EL168" s="138"/>
      <c r="EM168" s="138">
        <v>311</v>
      </c>
      <c r="EN168" s="3">
        <v>-2333</v>
      </c>
      <c r="EO168" s="138">
        <v>2</v>
      </c>
      <c r="EP168" s="138">
        <v>193</v>
      </c>
      <c r="EQ168" s="3">
        <v>-2170</v>
      </c>
      <c r="ER168" s="138">
        <v>6</v>
      </c>
      <c r="ES168" s="138">
        <v>173</v>
      </c>
      <c r="ET168" s="163"/>
      <c r="EU168" s="163"/>
      <c r="EV168" s="138">
        <v>2000</v>
      </c>
      <c r="EW168" s="138"/>
      <c r="EX168" s="138">
        <v>3000</v>
      </c>
      <c r="EY168" s="138"/>
      <c r="EZ168" s="138">
        <v>2250</v>
      </c>
      <c r="FA168" s="138">
        <v>1850</v>
      </c>
      <c r="FB168" s="138">
        <v>400</v>
      </c>
      <c r="FC168" s="138">
        <v>1335</v>
      </c>
      <c r="FD168" s="138">
        <v>3850</v>
      </c>
      <c r="FE168" s="138">
        <v>3250</v>
      </c>
      <c r="FF168" s="138">
        <v>600</v>
      </c>
      <c r="FG168" s="138">
        <v>1299</v>
      </c>
      <c r="FH168" s="138">
        <v>6250</v>
      </c>
      <c r="FI168" s="138">
        <v>5350</v>
      </c>
      <c r="FJ168" s="138">
        <v>900</v>
      </c>
      <c r="FK168" s="138">
        <v>1294</v>
      </c>
      <c r="FL168" s="147">
        <v>1695</v>
      </c>
      <c r="FM168" s="147">
        <v>1958.2390812597876</v>
      </c>
      <c r="FO168" s="181">
        <f t="shared" si="6"/>
        <v>836.9876543209876</v>
      </c>
      <c r="FP168" s="179">
        <f t="shared" si="8"/>
        <v>146.68553352979103</v>
      </c>
      <c r="FR168" s="184"/>
      <c r="FV168" s="184">
        <v>402</v>
      </c>
      <c r="FW168" s="2">
        <f t="shared" si="7"/>
        <v>-402</v>
      </c>
    </row>
    <row r="169" spans="1:179" ht="12.75">
      <c r="A169" s="82">
        <v>532</v>
      </c>
      <c r="B169" s="80" t="s">
        <v>165</v>
      </c>
      <c r="C169" s="191">
        <v>15027</v>
      </c>
      <c r="D169" s="146"/>
      <c r="E169" s="150">
        <v>1.5044925124792012</v>
      </c>
      <c r="F169" s="150">
        <v>44.6</v>
      </c>
      <c r="G169" s="151">
        <v>-2014</v>
      </c>
      <c r="H169" s="152"/>
      <c r="I169" s="152"/>
      <c r="J169" s="152"/>
      <c r="K169" s="150">
        <v>58.5</v>
      </c>
      <c r="L169" s="151">
        <v>109</v>
      </c>
      <c r="M169" s="151">
        <v>7</v>
      </c>
      <c r="N169" s="154">
        <v>6516.848745960918</v>
      </c>
      <c r="O169" s="146">
        <v>20316</v>
      </c>
      <c r="P169" s="139">
        <v>7952</v>
      </c>
      <c r="Q169" s="139">
        <v>67316</v>
      </c>
      <c r="R169" s="139">
        <v>-59364</v>
      </c>
      <c r="S169" s="146">
        <v>49600</v>
      </c>
      <c r="T169" s="139">
        <v>18299</v>
      </c>
      <c r="U169" s="160"/>
      <c r="W169" s="138">
        <v>-574</v>
      </c>
      <c r="X169" s="138">
        <v>125</v>
      </c>
      <c r="Y169" s="139">
        <v>8086</v>
      </c>
      <c r="Z169" s="138">
        <v>3474</v>
      </c>
      <c r="AA169" s="139"/>
      <c r="AC169" s="139">
        <v>4612</v>
      </c>
      <c r="AG169" s="139">
        <v>4612</v>
      </c>
      <c r="AH169" s="139">
        <v>5349</v>
      </c>
      <c r="AI169" s="139">
        <v>8006</v>
      </c>
      <c r="AJ169" s="176"/>
      <c r="AK169" s="139">
        <v>843</v>
      </c>
      <c r="AL169" s="151">
        <v>-5054</v>
      </c>
      <c r="AM169" s="151">
        <v>-3542</v>
      </c>
      <c r="AN169" s="146">
        <v>49600</v>
      </c>
      <c r="AO169" s="139">
        <v>43544</v>
      </c>
      <c r="AP169" s="139">
        <v>2839</v>
      </c>
      <c r="AQ169" s="139">
        <v>3217</v>
      </c>
      <c r="AR169" s="114">
        <v>20.5</v>
      </c>
      <c r="AS169" s="152"/>
      <c r="AT169" s="138">
        <v>30</v>
      </c>
      <c r="AU169" s="191">
        <v>15082</v>
      </c>
      <c r="AV169" s="146"/>
      <c r="AW169" s="150">
        <v>0.6575034578146611</v>
      </c>
      <c r="AX169" s="150">
        <v>54.3</v>
      </c>
      <c r="AY169" s="151">
        <v>-2584</v>
      </c>
      <c r="AZ169" s="152"/>
      <c r="BA169" s="152"/>
      <c r="BB169" s="152"/>
      <c r="BC169" s="150">
        <v>53.1</v>
      </c>
      <c r="BD169" s="151">
        <v>128</v>
      </c>
      <c r="BE169" s="151">
        <v>8</v>
      </c>
      <c r="BF169" s="154">
        <v>6094.019360827477</v>
      </c>
      <c r="BG169" s="146">
        <v>21931</v>
      </c>
      <c r="BH169" s="139">
        <v>8588</v>
      </c>
      <c r="BI169" s="139">
        <v>74344</v>
      </c>
      <c r="BJ169" s="139">
        <v>-65756</v>
      </c>
      <c r="BK169" s="146">
        <v>50684</v>
      </c>
      <c r="BL169" s="146">
        <v>18677</v>
      </c>
      <c r="BM169" s="160"/>
      <c r="BO169" s="138">
        <v>-614</v>
      </c>
      <c r="BP169" s="138">
        <v>103</v>
      </c>
      <c r="BQ169" s="139">
        <v>3094</v>
      </c>
      <c r="BR169" s="138">
        <v>3497</v>
      </c>
      <c r="BS169" s="139"/>
      <c r="BU169" s="139">
        <v>-403</v>
      </c>
      <c r="BY169" s="138">
        <v>-403</v>
      </c>
      <c r="BZ169" s="139">
        <v>5068</v>
      </c>
      <c r="CA169" s="139">
        <v>2973</v>
      </c>
      <c r="CB169" s="176"/>
      <c r="CC169" s="139">
        <v>495</v>
      </c>
      <c r="CD169" s="151">
        <v>-5075</v>
      </c>
      <c r="CE169" s="151">
        <v>-8532</v>
      </c>
      <c r="CF169" s="138">
        <v>50684</v>
      </c>
      <c r="CG169" s="139">
        <v>46010</v>
      </c>
      <c r="CH169" s="139">
        <v>1481</v>
      </c>
      <c r="CI169" s="139">
        <v>3193</v>
      </c>
      <c r="CJ169" s="114">
        <v>20.5</v>
      </c>
      <c r="CK169" s="152"/>
      <c r="CL169" s="138">
        <v>110</v>
      </c>
      <c r="CM169" s="190">
        <v>14985</v>
      </c>
      <c r="CN169" s="146"/>
      <c r="CO169" s="150">
        <v>0.5294395465994962</v>
      </c>
      <c r="CP169" s="150">
        <v>60.17619957849336</v>
      </c>
      <c r="CQ169" s="151">
        <v>-2983.5835835835837</v>
      </c>
      <c r="CR169" s="152"/>
      <c r="CS169" s="152"/>
      <c r="CT169" s="152"/>
      <c r="CU169" s="150">
        <v>48.42740964801189</v>
      </c>
      <c r="CV169" s="151">
        <v>120.4537871204538</v>
      </c>
      <c r="CW169" s="151">
        <v>6.991520927073605</v>
      </c>
      <c r="CX169" s="154">
        <v>6288.421755088421</v>
      </c>
      <c r="CY169" s="146">
        <v>22223</v>
      </c>
      <c r="CZ169" s="139">
        <v>9744</v>
      </c>
      <c r="DA169" s="139">
        <v>78378</v>
      </c>
      <c r="DB169" s="139">
        <v>-68634</v>
      </c>
      <c r="DC169" s="146">
        <v>53235</v>
      </c>
      <c r="DD169" s="146">
        <v>18654</v>
      </c>
      <c r="DE169" s="160"/>
      <c r="DG169" s="138">
        <v>-647</v>
      </c>
      <c r="DH169" s="138">
        <v>28</v>
      </c>
      <c r="DI169" s="139">
        <v>2636</v>
      </c>
      <c r="DJ169" s="138">
        <v>4411</v>
      </c>
      <c r="DK169" s="139"/>
      <c r="DM169" s="139">
        <v>-1775</v>
      </c>
      <c r="DQ169" s="138">
        <v>-1775</v>
      </c>
      <c r="DR169" s="139">
        <v>3293</v>
      </c>
      <c r="DS169" s="139">
        <v>2520</v>
      </c>
      <c r="DT169" s="176"/>
      <c r="DU169" s="139">
        <v>-1146</v>
      </c>
      <c r="DV169" s="151">
        <v>-5625</v>
      </c>
      <c r="DW169" s="138">
        <v>-6385</v>
      </c>
      <c r="DX169" s="138">
        <v>53235</v>
      </c>
      <c r="DY169" s="146">
        <v>47976</v>
      </c>
      <c r="DZ169" s="196">
        <v>1573</v>
      </c>
      <c r="EA169" s="146">
        <v>3686</v>
      </c>
      <c r="EB169" s="114">
        <v>20.5</v>
      </c>
      <c r="EC169" s="152"/>
      <c r="ED169" s="138">
        <v>218</v>
      </c>
      <c r="EE169" s="138">
        <v>42295</v>
      </c>
      <c r="EF169" s="138">
        <v>47546</v>
      </c>
      <c r="EG169" s="138">
        <v>51078</v>
      </c>
      <c r="EH169" s="138"/>
      <c r="EI169" s="138"/>
      <c r="EJ169" s="138"/>
      <c r="EK169" s="3">
        <v>-11793</v>
      </c>
      <c r="EL169" s="138">
        <v>20</v>
      </c>
      <c r="EM169" s="138">
        <v>225</v>
      </c>
      <c r="EN169" s="3">
        <v>-11694</v>
      </c>
      <c r="EO169" s="138"/>
      <c r="EP169" s="138">
        <v>189</v>
      </c>
      <c r="EQ169" s="3">
        <v>-9502</v>
      </c>
      <c r="ER169" s="138">
        <v>320</v>
      </c>
      <c r="ES169" s="138">
        <v>277</v>
      </c>
      <c r="ET169" s="163">
        <v>7000</v>
      </c>
      <c r="EU169" s="163"/>
      <c r="EV169" s="138">
        <v>8650</v>
      </c>
      <c r="EW169" s="138">
        <v>3000</v>
      </c>
      <c r="EX169" s="138">
        <v>11175</v>
      </c>
      <c r="EY169" s="138"/>
      <c r="EZ169" s="138">
        <v>25890</v>
      </c>
      <c r="FA169" s="138">
        <v>20815</v>
      </c>
      <c r="FB169" s="138">
        <v>5075</v>
      </c>
      <c r="FC169" s="138">
        <v>2365</v>
      </c>
      <c r="FD169" s="138">
        <v>32465</v>
      </c>
      <c r="FE169" s="138">
        <v>23840</v>
      </c>
      <c r="FF169" s="138">
        <v>8625</v>
      </c>
      <c r="FG169" s="138">
        <v>2379</v>
      </c>
      <c r="FH169" s="138">
        <v>38015</v>
      </c>
      <c r="FI169" s="138">
        <v>25975</v>
      </c>
      <c r="FJ169" s="138">
        <v>12040</v>
      </c>
      <c r="FK169" s="138">
        <v>1849</v>
      </c>
      <c r="FL169" s="147">
        <v>2368</v>
      </c>
      <c r="FM169" s="147">
        <v>2801.5515183662646</v>
      </c>
      <c r="FO169" s="181">
        <f t="shared" si="6"/>
        <v>2340.2926829268295</v>
      </c>
      <c r="FP169" s="179">
        <f t="shared" si="8"/>
        <v>156.17568788300497</v>
      </c>
      <c r="FR169" s="184"/>
      <c r="FV169" s="184">
        <v>5054</v>
      </c>
      <c r="FW169" s="2">
        <f t="shared" si="7"/>
        <v>-5054</v>
      </c>
    </row>
    <row r="170" spans="1:179" ht="12.75">
      <c r="A170" s="82">
        <v>535</v>
      </c>
      <c r="B170" s="80" t="s">
        <v>166</v>
      </c>
      <c r="C170" s="191">
        <v>11051</v>
      </c>
      <c r="D170" s="146"/>
      <c r="E170" s="150">
        <v>0.12572386467540383</v>
      </c>
      <c r="F170" s="150">
        <v>72.5</v>
      </c>
      <c r="G170" s="151">
        <v>-2706</v>
      </c>
      <c r="H170" s="152"/>
      <c r="I170" s="152"/>
      <c r="J170" s="152"/>
      <c r="K170" s="150">
        <v>43.4</v>
      </c>
      <c r="L170" s="151">
        <v>1609</v>
      </c>
      <c r="M170" s="151">
        <v>79</v>
      </c>
      <c r="N170" s="154">
        <v>5282.973546293985</v>
      </c>
      <c r="O170" s="146">
        <v>20179</v>
      </c>
      <c r="P170" s="139">
        <v>12555</v>
      </c>
      <c r="Q170" s="139">
        <v>68692</v>
      </c>
      <c r="R170" s="139">
        <v>-56137</v>
      </c>
      <c r="S170" s="146">
        <v>26971</v>
      </c>
      <c r="T170" s="139">
        <v>30573</v>
      </c>
      <c r="U170" s="160"/>
      <c r="W170" s="138">
        <v>-646</v>
      </c>
      <c r="X170" s="138">
        <v>-84</v>
      </c>
      <c r="Y170" s="139">
        <v>677</v>
      </c>
      <c r="Z170" s="138">
        <v>1586</v>
      </c>
      <c r="AB170" s="139"/>
      <c r="AC170" s="139">
        <v>-909</v>
      </c>
      <c r="AD170" s="139">
        <v>1</v>
      </c>
      <c r="AF170" s="138">
        <v>897</v>
      </c>
      <c r="AG170" s="139">
        <v>-11</v>
      </c>
      <c r="AH170" s="139">
        <v>8</v>
      </c>
      <c r="AI170" s="139">
        <v>667</v>
      </c>
      <c r="AJ170" s="176"/>
      <c r="AK170" s="138">
        <v>-808</v>
      </c>
      <c r="AL170" s="151">
        <v>-6414</v>
      </c>
      <c r="AM170" s="151">
        <v>-3935</v>
      </c>
      <c r="AN170" s="146">
        <v>26971</v>
      </c>
      <c r="AO170" s="139">
        <v>24191</v>
      </c>
      <c r="AP170" s="139">
        <v>1215</v>
      </c>
      <c r="AQ170" s="139">
        <v>1565</v>
      </c>
      <c r="AR170" s="114">
        <v>20.5</v>
      </c>
      <c r="AS170" s="152"/>
      <c r="AT170" s="138">
        <v>259</v>
      </c>
      <c r="AU170" s="191">
        <v>10985</v>
      </c>
      <c r="AV170" s="146"/>
      <c r="AW170" s="150">
        <v>0.40681233933161953</v>
      </c>
      <c r="AX170" s="150">
        <v>79.3</v>
      </c>
      <c r="AY170" s="151">
        <v>-3222</v>
      </c>
      <c r="AZ170" s="152"/>
      <c r="BA170" s="152"/>
      <c r="BB170" s="152"/>
      <c r="BC170" s="150">
        <v>40.3</v>
      </c>
      <c r="BD170" s="151">
        <v>1595</v>
      </c>
      <c r="BE170" s="151">
        <v>75</v>
      </c>
      <c r="BF170" s="154">
        <v>7771.688666363222</v>
      </c>
      <c r="BG170" s="146">
        <v>21275</v>
      </c>
      <c r="BH170" s="139">
        <v>12873</v>
      </c>
      <c r="BI170" s="139">
        <v>71207</v>
      </c>
      <c r="BJ170" s="139">
        <v>-58334</v>
      </c>
      <c r="BK170" s="146">
        <v>29180</v>
      </c>
      <c r="BL170" s="146">
        <v>30911</v>
      </c>
      <c r="BM170" s="160"/>
      <c r="BO170" s="138">
        <v>-435</v>
      </c>
      <c r="BP170" s="138">
        <v>444</v>
      </c>
      <c r="BQ170" s="139">
        <v>1766</v>
      </c>
      <c r="BR170" s="138">
        <v>1662</v>
      </c>
      <c r="BT170" s="139"/>
      <c r="BU170" s="139">
        <v>104</v>
      </c>
      <c r="BV170" s="139">
        <v>2</v>
      </c>
      <c r="BW170" s="138">
        <v>330</v>
      </c>
      <c r="BY170" s="138">
        <v>436</v>
      </c>
      <c r="BZ170" s="139">
        <v>444</v>
      </c>
      <c r="CA170" s="139">
        <v>1615</v>
      </c>
      <c r="CB170" s="176"/>
      <c r="CC170" s="138">
        <v>-1783</v>
      </c>
      <c r="CD170" s="151">
        <v>-5458</v>
      </c>
      <c r="CE170" s="151">
        <v>-5815</v>
      </c>
      <c r="CF170" s="138">
        <v>29180</v>
      </c>
      <c r="CG170" s="139">
        <v>26402</v>
      </c>
      <c r="CH170" s="139">
        <v>895</v>
      </c>
      <c r="CI170" s="139">
        <v>1883</v>
      </c>
      <c r="CJ170" s="114">
        <v>21</v>
      </c>
      <c r="CK170" s="152"/>
      <c r="CL170" s="138">
        <v>146</v>
      </c>
      <c r="CM170" s="190">
        <v>10942</v>
      </c>
      <c r="CN170" s="146"/>
      <c r="CO170" s="150">
        <v>0.5217305020837468</v>
      </c>
      <c r="CP170" s="150">
        <v>76.81461368890801</v>
      </c>
      <c r="CQ170" s="151">
        <v>-3515.1709011149696</v>
      </c>
      <c r="CR170" s="152"/>
      <c r="CS170" s="152"/>
      <c r="CT170" s="152"/>
      <c r="CU170" s="150">
        <v>40.92219615786047</v>
      </c>
      <c r="CV170" s="151">
        <v>1472.1257539755072</v>
      </c>
      <c r="CW170" s="151">
        <v>69.94979298529482</v>
      </c>
      <c r="CX170" s="154">
        <v>7681.593858526777</v>
      </c>
      <c r="CY170" s="146">
        <v>20955</v>
      </c>
      <c r="CZ170" s="139">
        <v>12464</v>
      </c>
      <c r="DA170" s="139">
        <v>72794</v>
      </c>
      <c r="DB170" s="139">
        <v>-60330</v>
      </c>
      <c r="DC170" s="146">
        <v>30479</v>
      </c>
      <c r="DD170" s="146">
        <v>31484</v>
      </c>
      <c r="DE170" s="160"/>
      <c r="DG170" s="138">
        <v>-223</v>
      </c>
      <c r="DH170" s="138">
        <v>756</v>
      </c>
      <c r="DI170" s="139">
        <v>2166</v>
      </c>
      <c r="DJ170" s="138">
        <v>1891</v>
      </c>
      <c r="DK170" s="138">
        <v>317</v>
      </c>
      <c r="DL170" s="139"/>
      <c r="DM170" s="139">
        <v>592</v>
      </c>
      <c r="DN170" s="139">
        <v>2</v>
      </c>
      <c r="DO170" s="138">
        <v>145</v>
      </c>
      <c r="DQ170" s="138">
        <v>739</v>
      </c>
      <c r="DR170" s="139">
        <v>1182</v>
      </c>
      <c r="DS170" s="139">
        <v>2465</v>
      </c>
      <c r="DT170" s="176"/>
      <c r="DU170" s="138">
        <v>2326</v>
      </c>
      <c r="DV170" s="151">
        <v>-4575</v>
      </c>
      <c r="DW170" s="138">
        <v>-3288</v>
      </c>
      <c r="DX170" s="138">
        <v>30479</v>
      </c>
      <c r="DY170" s="146">
        <v>27351</v>
      </c>
      <c r="DZ170" s="196">
        <v>1184</v>
      </c>
      <c r="EA170" s="146">
        <v>1944</v>
      </c>
      <c r="EB170" s="114">
        <v>21</v>
      </c>
      <c r="EC170" s="152"/>
      <c r="ED170" s="138">
        <v>198</v>
      </c>
      <c r="EE170" s="138">
        <v>45054</v>
      </c>
      <c r="EF170" s="138">
        <v>46182</v>
      </c>
      <c r="EG170" s="138">
        <v>48083</v>
      </c>
      <c r="EH170" s="138">
        <v>1100</v>
      </c>
      <c r="EI170" s="138"/>
      <c r="EJ170" s="138"/>
      <c r="EK170" s="3">
        <v>-5621</v>
      </c>
      <c r="EL170" s="138">
        <v>912</v>
      </c>
      <c r="EM170" s="138">
        <v>107</v>
      </c>
      <c r="EN170" s="3">
        <v>-8014</v>
      </c>
      <c r="EO170" s="138">
        <v>407</v>
      </c>
      <c r="EP170" s="138">
        <v>177</v>
      </c>
      <c r="EQ170" s="3">
        <v>-6172</v>
      </c>
      <c r="ER170" s="138">
        <v>393</v>
      </c>
      <c r="ES170" s="138">
        <v>26</v>
      </c>
      <c r="ET170" s="163"/>
      <c r="EU170" s="163">
        <v>6500</v>
      </c>
      <c r="EV170" s="138"/>
      <c r="EW170" s="138">
        <v>13000</v>
      </c>
      <c r="EX170" s="138">
        <v>7300</v>
      </c>
      <c r="EY170" s="138">
        <v>-2500</v>
      </c>
      <c r="EZ170" s="138">
        <v>43452</v>
      </c>
      <c r="FA170" s="138">
        <v>23994</v>
      </c>
      <c r="FB170" s="138">
        <v>19458</v>
      </c>
      <c r="FC170" s="138">
        <v>2685</v>
      </c>
      <c r="FD170" s="138">
        <v>50994</v>
      </c>
      <c r="FE170" s="138">
        <v>19544</v>
      </c>
      <c r="FF170" s="138">
        <v>31450</v>
      </c>
      <c r="FG170" s="138">
        <v>2351</v>
      </c>
      <c r="FH170" s="138">
        <v>51219</v>
      </c>
      <c r="FI170" s="138">
        <v>22153</v>
      </c>
      <c r="FJ170" s="138">
        <v>29066</v>
      </c>
      <c r="FK170" s="138">
        <v>2146</v>
      </c>
      <c r="FL170" s="147">
        <v>7825</v>
      </c>
      <c r="FM170" s="147">
        <v>8314.974965862539</v>
      </c>
      <c r="FO170" s="181">
        <f t="shared" si="6"/>
        <v>1302.4285714285713</v>
      </c>
      <c r="FP170" s="179">
        <f t="shared" si="8"/>
        <v>119.03021124370055</v>
      </c>
      <c r="FR170" s="184"/>
      <c r="FV170" s="184">
        <v>6414</v>
      </c>
      <c r="FW170" s="2">
        <f t="shared" si="7"/>
        <v>-6414</v>
      </c>
    </row>
    <row r="171" spans="1:179" ht="12.75">
      <c r="A171" s="82">
        <v>536</v>
      </c>
      <c r="B171" s="80" t="s">
        <v>167</v>
      </c>
      <c r="C171" s="191">
        <v>32056</v>
      </c>
      <c r="D171" s="146"/>
      <c r="E171" s="150">
        <v>1.7454760496747486</v>
      </c>
      <c r="F171" s="150">
        <v>42.3</v>
      </c>
      <c r="G171" s="151">
        <v>-1521</v>
      </c>
      <c r="H171" s="152"/>
      <c r="I171" s="152"/>
      <c r="J171" s="152"/>
      <c r="K171" s="150">
        <v>60.1</v>
      </c>
      <c r="L171" s="151">
        <v>513</v>
      </c>
      <c r="M171" s="151">
        <v>33</v>
      </c>
      <c r="N171" s="154">
        <v>11080.598255089322</v>
      </c>
      <c r="O171" s="146">
        <v>79377</v>
      </c>
      <c r="P171" s="139">
        <v>30309</v>
      </c>
      <c r="Q171" s="139">
        <v>160992</v>
      </c>
      <c r="R171" s="139">
        <v>-130683</v>
      </c>
      <c r="S171" s="146">
        <v>110552</v>
      </c>
      <c r="T171" s="139">
        <v>35515</v>
      </c>
      <c r="U171" s="160"/>
      <c r="W171" s="138">
        <v>-1325</v>
      </c>
      <c r="X171" s="138">
        <v>500</v>
      </c>
      <c r="Y171" s="139">
        <v>14559</v>
      </c>
      <c r="Z171" s="138">
        <v>10708</v>
      </c>
      <c r="AC171" s="139">
        <v>3851</v>
      </c>
      <c r="AD171" s="138">
        <v>451</v>
      </c>
      <c r="AF171" s="139"/>
      <c r="AG171" s="139">
        <v>4302</v>
      </c>
      <c r="AH171" s="139">
        <v>24556</v>
      </c>
      <c r="AI171" s="139">
        <v>12673</v>
      </c>
      <c r="AJ171" s="176"/>
      <c r="AK171" s="139">
        <v>164</v>
      </c>
      <c r="AL171" s="151">
        <v>-8256</v>
      </c>
      <c r="AM171" s="151">
        <v>957</v>
      </c>
      <c r="AN171" s="146">
        <v>110552</v>
      </c>
      <c r="AO171" s="139">
        <v>98428</v>
      </c>
      <c r="AP171" s="139">
        <v>6068</v>
      </c>
      <c r="AQ171" s="139">
        <v>6056</v>
      </c>
      <c r="AR171" s="114">
        <v>19.75</v>
      </c>
      <c r="AS171" s="152"/>
      <c r="AT171" s="138">
        <v>54</v>
      </c>
      <c r="AU171" s="191">
        <v>32354</v>
      </c>
      <c r="AV171" s="146"/>
      <c r="AW171" s="150">
        <v>1.6714085353636545</v>
      </c>
      <c r="AX171" s="150">
        <v>41.6</v>
      </c>
      <c r="AY171" s="151">
        <v>-1487</v>
      </c>
      <c r="AZ171" s="152"/>
      <c r="BA171" s="152"/>
      <c r="BB171" s="152"/>
      <c r="BC171" s="150">
        <v>53.8</v>
      </c>
      <c r="BD171" s="151">
        <v>607</v>
      </c>
      <c r="BE171" s="151">
        <v>38</v>
      </c>
      <c r="BF171" s="154">
        <v>5880.5402732274215</v>
      </c>
      <c r="BG171" s="146">
        <v>83888</v>
      </c>
      <c r="BH171" s="139">
        <v>33698</v>
      </c>
      <c r="BI171" s="139">
        <v>169457</v>
      </c>
      <c r="BJ171" s="139">
        <v>-135759</v>
      </c>
      <c r="BK171" s="146">
        <v>115165</v>
      </c>
      <c r="BL171" s="146">
        <v>36453</v>
      </c>
      <c r="BM171" s="160"/>
      <c r="BO171" s="138">
        <v>-1540</v>
      </c>
      <c r="BP171" s="138">
        <v>686</v>
      </c>
      <c r="BQ171" s="139">
        <v>15005</v>
      </c>
      <c r="BR171" s="138">
        <v>11035</v>
      </c>
      <c r="BT171" s="138">
        <v>12142</v>
      </c>
      <c r="BU171" s="139">
        <v>-8172</v>
      </c>
      <c r="BV171" s="138">
        <v>362</v>
      </c>
      <c r="BW171" s="138">
        <v>37</v>
      </c>
      <c r="BX171" s="139"/>
      <c r="BY171" s="138">
        <v>-7773</v>
      </c>
      <c r="BZ171" s="139">
        <v>16782</v>
      </c>
      <c r="CA171" s="139">
        <v>11929</v>
      </c>
      <c r="CB171" s="176"/>
      <c r="CC171" s="139">
        <v>108</v>
      </c>
      <c r="CD171" s="151">
        <v>-8303</v>
      </c>
      <c r="CE171" s="151">
        <v>556</v>
      </c>
      <c r="CF171" s="138">
        <v>115165</v>
      </c>
      <c r="CG171" s="139">
        <v>106158</v>
      </c>
      <c r="CH171" s="139">
        <v>2832</v>
      </c>
      <c r="CI171" s="139">
        <v>6175</v>
      </c>
      <c r="CJ171" s="114">
        <v>19.75</v>
      </c>
      <c r="CK171" s="152"/>
      <c r="CL171" s="138">
        <v>27</v>
      </c>
      <c r="CM171" s="190">
        <v>32690</v>
      </c>
      <c r="CN171" s="146"/>
      <c r="CO171" s="150">
        <v>1.7496372869060572</v>
      </c>
      <c r="CP171" s="150">
        <v>38.43634749873751</v>
      </c>
      <c r="CQ171" s="151">
        <v>-1369.4401957785255</v>
      </c>
      <c r="CR171" s="152"/>
      <c r="CS171" s="152"/>
      <c r="CT171" s="152"/>
      <c r="CU171" s="150">
        <v>56.075009246209056</v>
      </c>
      <c r="CV171" s="151">
        <v>696.0538390945244</v>
      </c>
      <c r="CW171" s="151">
        <v>39.76600655009289</v>
      </c>
      <c r="CX171" s="154">
        <v>6388.865096359743</v>
      </c>
      <c r="CY171" s="146">
        <v>88836</v>
      </c>
      <c r="CZ171" s="139">
        <v>36525</v>
      </c>
      <c r="DA171" s="139">
        <v>180253</v>
      </c>
      <c r="DB171" s="139">
        <v>-143728</v>
      </c>
      <c r="DC171" s="146">
        <v>122672</v>
      </c>
      <c r="DD171" s="146">
        <v>39602</v>
      </c>
      <c r="DE171" s="160"/>
      <c r="DG171" s="138">
        <v>-1469</v>
      </c>
      <c r="DH171" s="138">
        <v>644</v>
      </c>
      <c r="DI171" s="139">
        <v>17721</v>
      </c>
      <c r="DJ171" s="138">
        <v>11070</v>
      </c>
      <c r="DK171" s="138">
        <v>2885</v>
      </c>
      <c r="DM171" s="139">
        <v>9536</v>
      </c>
      <c r="DN171" s="138">
        <v>172</v>
      </c>
      <c r="DP171" s="139"/>
      <c r="DQ171" s="138">
        <v>9708</v>
      </c>
      <c r="DR171" s="139">
        <v>26490</v>
      </c>
      <c r="DS171" s="139">
        <v>12837</v>
      </c>
      <c r="DT171" s="176"/>
      <c r="DU171" s="139">
        <v>-59</v>
      </c>
      <c r="DV171" s="151">
        <v>-9453</v>
      </c>
      <c r="DW171" s="138">
        <v>4043</v>
      </c>
      <c r="DX171" s="138">
        <v>122672</v>
      </c>
      <c r="DY171" s="146">
        <v>111837</v>
      </c>
      <c r="DZ171" s="196">
        <v>4149</v>
      </c>
      <c r="EA171" s="146">
        <v>6686</v>
      </c>
      <c r="EB171" s="114">
        <v>19.75</v>
      </c>
      <c r="EC171" s="152"/>
      <c r="ED171" s="138">
        <v>46</v>
      </c>
      <c r="EE171" s="138">
        <v>59246</v>
      </c>
      <c r="EF171" s="138">
        <v>61709</v>
      </c>
      <c r="EG171" s="138">
        <v>65440</v>
      </c>
      <c r="EH171" s="138"/>
      <c r="EI171" s="138"/>
      <c r="EJ171" s="138"/>
      <c r="EK171" s="3">
        <v>-13991</v>
      </c>
      <c r="EL171" s="138">
        <v>56</v>
      </c>
      <c r="EM171" s="138">
        <v>2219</v>
      </c>
      <c r="EN171" s="3">
        <v>-14754</v>
      </c>
      <c r="EO171" s="138">
        <v>183</v>
      </c>
      <c r="EP171" s="138">
        <v>3198</v>
      </c>
      <c r="EQ171" s="3">
        <v>-20278</v>
      </c>
      <c r="ER171" s="138">
        <v>-2</v>
      </c>
      <c r="ES171" s="138">
        <v>11486</v>
      </c>
      <c r="ET171" s="163"/>
      <c r="EU171" s="163"/>
      <c r="EV171" s="138">
        <v>10000</v>
      </c>
      <c r="EW171" s="138"/>
      <c r="EX171" s="138">
        <v>8000</v>
      </c>
      <c r="EY171" s="138"/>
      <c r="EZ171" s="138">
        <v>50290</v>
      </c>
      <c r="FA171" s="138">
        <v>42237</v>
      </c>
      <c r="FB171" s="138">
        <v>8053</v>
      </c>
      <c r="FC171" s="138">
        <v>174</v>
      </c>
      <c r="FD171" s="138">
        <v>51987</v>
      </c>
      <c r="FE171" s="138">
        <v>43034</v>
      </c>
      <c r="FF171" s="138">
        <v>8953</v>
      </c>
      <c r="FG171" s="138">
        <v>171</v>
      </c>
      <c r="FH171" s="138">
        <v>50534</v>
      </c>
      <c r="FI171" s="138">
        <v>41680</v>
      </c>
      <c r="FJ171" s="138">
        <v>8854</v>
      </c>
      <c r="FK171" s="138">
        <v>171</v>
      </c>
      <c r="FL171" s="147">
        <v>2450</v>
      </c>
      <c r="FM171" s="147">
        <v>2578.908326636583</v>
      </c>
      <c r="FO171" s="181">
        <f t="shared" si="6"/>
        <v>5662.632911392405</v>
      </c>
      <c r="FP171" s="179">
        <f t="shared" si="8"/>
        <v>173.22217532555536</v>
      </c>
      <c r="FR171" s="184"/>
      <c r="FV171" s="184">
        <v>8256</v>
      </c>
      <c r="FW171" s="2">
        <f t="shared" si="7"/>
        <v>-8256</v>
      </c>
    </row>
    <row r="172" spans="1:179" ht="12.75">
      <c r="A172" s="82">
        <v>538</v>
      </c>
      <c r="B172" s="80" t="s">
        <v>168</v>
      </c>
      <c r="C172" s="191">
        <v>4814</v>
      </c>
      <c r="D172" s="146"/>
      <c r="E172" s="150">
        <v>0.5048543689320388</v>
      </c>
      <c r="F172" s="150">
        <v>50.3</v>
      </c>
      <c r="G172" s="151">
        <v>-2450</v>
      </c>
      <c r="H172" s="152"/>
      <c r="I172" s="152"/>
      <c r="J172" s="152"/>
      <c r="K172" s="150">
        <v>52.2</v>
      </c>
      <c r="L172" s="151">
        <v>2</v>
      </c>
      <c r="M172" s="151">
        <v>0</v>
      </c>
      <c r="N172" s="154">
        <v>6310.428849902534</v>
      </c>
      <c r="O172" s="146">
        <v>8827</v>
      </c>
      <c r="P172" s="139">
        <v>3096</v>
      </c>
      <c r="Q172" s="139">
        <v>26194</v>
      </c>
      <c r="R172" s="139">
        <v>-23098</v>
      </c>
      <c r="S172" s="146">
        <v>14590</v>
      </c>
      <c r="T172" s="139">
        <v>8770</v>
      </c>
      <c r="U172" s="160"/>
      <c r="W172" s="138">
        <v>-142</v>
      </c>
      <c r="X172" s="138">
        <v>145</v>
      </c>
      <c r="Y172" s="139">
        <v>265</v>
      </c>
      <c r="Z172" s="138">
        <v>933</v>
      </c>
      <c r="AA172" s="139"/>
      <c r="AC172" s="139">
        <v>-668</v>
      </c>
      <c r="AD172" s="139">
        <v>271</v>
      </c>
      <c r="AG172" s="139">
        <v>-397</v>
      </c>
      <c r="AH172" s="139">
        <v>728</v>
      </c>
      <c r="AI172" s="139">
        <v>131</v>
      </c>
      <c r="AJ172" s="176"/>
      <c r="AK172" s="139">
        <v>-671</v>
      </c>
      <c r="AL172" s="151">
        <v>-775</v>
      </c>
      <c r="AM172" s="151">
        <v>-3755</v>
      </c>
      <c r="AN172" s="146">
        <v>14590</v>
      </c>
      <c r="AO172" s="139">
        <v>13493</v>
      </c>
      <c r="AP172" s="139">
        <v>469</v>
      </c>
      <c r="AQ172" s="139">
        <v>628</v>
      </c>
      <c r="AR172" s="114">
        <v>19.5</v>
      </c>
      <c r="AS172" s="152"/>
      <c r="AT172" s="138">
        <v>260</v>
      </c>
      <c r="AU172" s="191">
        <v>4846</v>
      </c>
      <c r="AV172" s="146"/>
      <c r="AW172" s="150">
        <v>0</v>
      </c>
      <c r="AX172" s="150">
        <v>50.9</v>
      </c>
      <c r="AY172" s="151">
        <v>-2501</v>
      </c>
      <c r="AZ172" s="152"/>
      <c r="BA172" s="152"/>
      <c r="BB172" s="152"/>
      <c r="BC172" s="150">
        <v>49.3</v>
      </c>
      <c r="BD172" s="151">
        <v>3</v>
      </c>
      <c r="BE172" s="151">
        <v>0</v>
      </c>
      <c r="BF172" s="154">
        <v>5903.012794056954</v>
      </c>
      <c r="BG172" s="146">
        <v>9394</v>
      </c>
      <c r="BH172" s="139">
        <v>3427</v>
      </c>
      <c r="BI172" s="139">
        <v>26829</v>
      </c>
      <c r="BJ172" s="139">
        <v>-23402</v>
      </c>
      <c r="BK172" s="146">
        <v>14719</v>
      </c>
      <c r="BL172" s="146">
        <v>8669</v>
      </c>
      <c r="BM172" s="160"/>
      <c r="BO172" s="138">
        <v>-173</v>
      </c>
      <c r="BP172" s="138">
        <v>12</v>
      </c>
      <c r="BQ172" s="139">
        <v>-175</v>
      </c>
      <c r="BR172" s="138">
        <v>976</v>
      </c>
      <c r="BS172" s="139"/>
      <c r="BU172" s="139">
        <v>-1151</v>
      </c>
      <c r="BV172" s="139">
        <v>33</v>
      </c>
      <c r="BY172" s="138">
        <v>-1118</v>
      </c>
      <c r="BZ172" s="139">
        <v>-569</v>
      </c>
      <c r="CA172" s="139">
        <v>-394</v>
      </c>
      <c r="CB172" s="176"/>
      <c r="CC172" s="139">
        <v>-2</v>
      </c>
      <c r="CD172" s="151">
        <v>-950</v>
      </c>
      <c r="CE172" s="151">
        <v>-148</v>
      </c>
      <c r="CF172" s="138">
        <v>14719</v>
      </c>
      <c r="CG172" s="139">
        <v>13679</v>
      </c>
      <c r="CH172" s="139">
        <v>341</v>
      </c>
      <c r="CI172" s="139">
        <v>699</v>
      </c>
      <c r="CJ172" s="114">
        <v>20</v>
      </c>
      <c r="CK172" s="152"/>
      <c r="CL172" s="138">
        <v>262</v>
      </c>
      <c r="CM172" s="190">
        <v>4872</v>
      </c>
      <c r="CN172" s="146"/>
      <c r="CO172" s="150">
        <v>0.7652764306498545</v>
      </c>
      <c r="CP172" s="150">
        <v>46.993482374378026</v>
      </c>
      <c r="CQ172" s="151">
        <v>-2562.3973727422003</v>
      </c>
      <c r="CR172" s="152"/>
      <c r="CS172" s="152"/>
      <c r="CT172" s="152"/>
      <c r="CU172" s="150">
        <v>48.7400733048259</v>
      </c>
      <c r="CV172" s="151">
        <v>6.362889983579639</v>
      </c>
      <c r="CW172" s="151">
        <v>0.3741485351497917</v>
      </c>
      <c r="CX172" s="154">
        <v>6207.307060755337</v>
      </c>
      <c r="CY172" s="146">
        <v>9091</v>
      </c>
      <c r="CZ172" s="139">
        <v>3459</v>
      </c>
      <c r="DA172" s="139">
        <v>27757</v>
      </c>
      <c r="DB172" s="139">
        <v>-24298</v>
      </c>
      <c r="DC172" s="146">
        <v>16033</v>
      </c>
      <c r="DD172" s="146">
        <v>9046</v>
      </c>
      <c r="DE172" s="160"/>
      <c r="DG172" s="138">
        <v>-79</v>
      </c>
      <c r="DH172" s="138">
        <v>6</v>
      </c>
      <c r="DI172" s="139">
        <v>708</v>
      </c>
      <c r="DJ172" s="138">
        <v>969</v>
      </c>
      <c r="DK172" s="139"/>
      <c r="DL172" s="138">
        <v>180</v>
      </c>
      <c r="DM172" s="139">
        <v>-441</v>
      </c>
      <c r="DN172" s="139">
        <v>33</v>
      </c>
      <c r="DQ172" s="138">
        <v>-408</v>
      </c>
      <c r="DR172" s="139">
        <v>-1041</v>
      </c>
      <c r="DS172" s="139">
        <v>56</v>
      </c>
      <c r="DT172" s="176"/>
      <c r="DU172" s="139">
        <v>613</v>
      </c>
      <c r="DV172" s="151">
        <v>-950</v>
      </c>
      <c r="DW172" s="138">
        <v>-260</v>
      </c>
      <c r="DX172" s="138">
        <v>16033</v>
      </c>
      <c r="DY172" s="146">
        <v>15013</v>
      </c>
      <c r="DZ172" s="196">
        <v>292</v>
      </c>
      <c r="EA172" s="146">
        <v>728</v>
      </c>
      <c r="EB172" s="114">
        <v>20</v>
      </c>
      <c r="EC172" s="152"/>
      <c r="ED172" s="138">
        <v>227</v>
      </c>
      <c r="EE172" s="138">
        <v>14780</v>
      </c>
      <c r="EF172" s="138">
        <v>14582</v>
      </c>
      <c r="EG172" s="138">
        <v>16414</v>
      </c>
      <c r="EH172" s="138"/>
      <c r="EI172" s="138"/>
      <c r="EJ172" s="138"/>
      <c r="EK172" s="3">
        <v>-4221</v>
      </c>
      <c r="EL172" s="138">
        <v>14</v>
      </c>
      <c r="EM172" s="138">
        <v>321</v>
      </c>
      <c r="EN172" s="3">
        <v>-583</v>
      </c>
      <c r="EO172" s="138">
        <v>152</v>
      </c>
      <c r="EP172" s="138">
        <v>677</v>
      </c>
      <c r="EQ172" s="3">
        <v>-1385</v>
      </c>
      <c r="ER172" s="138">
        <v>189</v>
      </c>
      <c r="ES172" s="138">
        <v>880</v>
      </c>
      <c r="ET172" s="163">
        <v>5000</v>
      </c>
      <c r="EU172" s="163">
        <v>647</v>
      </c>
      <c r="EV172" s="138"/>
      <c r="EW172" s="138">
        <v>1061</v>
      </c>
      <c r="EX172" s="138">
        <v>750</v>
      </c>
      <c r="EY172" s="138">
        <v>-311</v>
      </c>
      <c r="EZ172" s="138">
        <v>9808</v>
      </c>
      <c r="FA172" s="138">
        <v>8211</v>
      </c>
      <c r="FB172" s="138">
        <v>1597</v>
      </c>
      <c r="FC172" s="138">
        <v>145</v>
      </c>
      <c r="FD172" s="138">
        <v>9271</v>
      </c>
      <c r="FE172" s="138">
        <v>7261</v>
      </c>
      <c r="FF172" s="138">
        <v>2010</v>
      </c>
      <c r="FG172" s="138">
        <v>145</v>
      </c>
      <c r="FH172" s="138">
        <v>8760</v>
      </c>
      <c r="FI172" s="138">
        <v>7092</v>
      </c>
      <c r="FJ172" s="138">
        <v>1668</v>
      </c>
      <c r="FK172" s="138">
        <v>145</v>
      </c>
      <c r="FL172" s="147">
        <v>2857</v>
      </c>
      <c r="FM172" s="147">
        <v>2707.800247626909</v>
      </c>
      <c r="FO172" s="181">
        <f t="shared" si="6"/>
        <v>750.65</v>
      </c>
      <c r="FP172" s="179">
        <f t="shared" si="8"/>
        <v>154.07430213464696</v>
      </c>
      <c r="FR172" s="184"/>
      <c r="FV172" s="184">
        <v>775</v>
      </c>
      <c r="FW172" s="2">
        <f t="shared" si="7"/>
        <v>-775</v>
      </c>
    </row>
    <row r="173" spans="1:179" ht="12.75">
      <c r="A173" s="82">
        <v>541</v>
      </c>
      <c r="B173" s="80" t="s">
        <v>169</v>
      </c>
      <c r="C173" s="191">
        <v>8359</v>
      </c>
      <c r="D173" s="146"/>
      <c r="E173" s="150">
        <v>2.699651567944251</v>
      </c>
      <c r="F173" s="150">
        <v>29.1</v>
      </c>
      <c r="G173" s="151">
        <v>-368</v>
      </c>
      <c r="H173" s="152"/>
      <c r="I173" s="152"/>
      <c r="J173" s="152"/>
      <c r="K173" s="150">
        <v>69.9</v>
      </c>
      <c r="L173" s="151">
        <v>992</v>
      </c>
      <c r="M173" s="151">
        <v>49</v>
      </c>
      <c r="N173" s="154">
        <v>4962.229547200674</v>
      </c>
      <c r="O173" s="146">
        <v>19039</v>
      </c>
      <c r="P173" s="139">
        <v>8191</v>
      </c>
      <c r="Q173" s="139">
        <v>50974</v>
      </c>
      <c r="R173" s="139">
        <v>-42783</v>
      </c>
      <c r="S173" s="146">
        <v>21968</v>
      </c>
      <c r="T173" s="139">
        <v>24299</v>
      </c>
      <c r="U173" s="160"/>
      <c r="W173" s="138">
        <v>-163</v>
      </c>
      <c r="X173" s="138">
        <v>275</v>
      </c>
      <c r="Y173" s="139">
        <v>3596</v>
      </c>
      <c r="Z173" s="138">
        <v>2194</v>
      </c>
      <c r="AA173" s="139"/>
      <c r="AC173" s="139">
        <v>1402</v>
      </c>
      <c r="AD173" s="139">
        <v>-2783</v>
      </c>
      <c r="AE173" s="139">
        <v>3000</v>
      </c>
      <c r="AF173" s="138">
        <v>-36</v>
      </c>
      <c r="AG173" s="139">
        <v>1583</v>
      </c>
      <c r="AH173" s="139">
        <v>6557</v>
      </c>
      <c r="AI173" s="139">
        <v>3480</v>
      </c>
      <c r="AJ173" s="176"/>
      <c r="AK173" s="139">
        <v>428</v>
      </c>
      <c r="AL173" s="151">
        <v>-1157</v>
      </c>
      <c r="AM173" s="151">
        <v>-3177</v>
      </c>
      <c r="AN173" s="146">
        <v>21968</v>
      </c>
      <c r="AO173" s="139">
        <v>18454</v>
      </c>
      <c r="AP173" s="139">
        <v>2383</v>
      </c>
      <c r="AQ173" s="139">
        <v>1131</v>
      </c>
      <c r="AR173" s="114">
        <v>20</v>
      </c>
      <c r="AS173" s="152"/>
      <c r="AT173" s="138">
        <v>64</v>
      </c>
      <c r="AU173" s="191">
        <v>8308</v>
      </c>
      <c r="AV173" s="146"/>
      <c r="AW173" s="150">
        <v>1.0350444225074038</v>
      </c>
      <c r="AX173" s="150">
        <v>25.8</v>
      </c>
      <c r="AY173" s="151">
        <v>-702</v>
      </c>
      <c r="AZ173" s="152"/>
      <c r="BA173" s="152"/>
      <c r="BB173" s="152"/>
      <c r="BC173" s="150">
        <v>72.3</v>
      </c>
      <c r="BD173" s="151">
        <v>493</v>
      </c>
      <c r="BE173" s="151">
        <v>24</v>
      </c>
      <c r="BF173" s="154">
        <v>7498.67597496389</v>
      </c>
      <c r="BG173" s="146">
        <v>20019</v>
      </c>
      <c r="BH173" s="139">
        <v>8730</v>
      </c>
      <c r="BI173" s="139">
        <v>54255</v>
      </c>
      <c r="BJ173" s="139">
        <v>-45525</v>
      </c>
      <c r="BK173" s="146">
        <v>21645</v>
      </c>
      <c r="BL173" s="146">
        <v>25452</v>
      </c>
      <c r="BM173" s="160"/>
      <c r="BO173" s="138">
        <v>-53</v>
      </c>
      <c r="BP173" s="138">
        <v>321</v>
      </c>
      <c r="BQ173" s="139">
        <v>1840</v>
      </c>
      <c r="BR173" s="138">
        <v>2428</v>
      </c>
      <c r="BS173" s="139"/>
      <c r="BU173" s="139">
        <v>-588</v>
      </c>
      <c r="BV173" s="139">
        <v>256</v>
      </c>
      <c r="BW173" s="139"/>
      <c r="BY173" s="138">
        <v>-332</v>
      </c>
      <c r="BZ173" s="139">
        <v>6227</v>
      </c>
      <c r="CA173" s="139">
        <v>586</v>
      </c>
      <c r="CB173" s="176"/>
      <c r="CC173" s="139">
        <v>21</v>
      </c>
      <c r="CD173" s="151">
        <v>-1769</v>
      </c>
      <c r="CE173" s="151">
        <v>-2652</v>
      </c>
      <c r="CF173" s="138">
        <v>21645</v>
      </c>
      <c r="CG173" s="139">
        <v>18764</v>
      </c>
      <c r="CH173" s="139">
        <v>1519</v>
      </c>
      <c r="CI173" s="139">
        <v>1362</v>
      </c>
      <c r="CJ173" s="114">
        <v>20</v>
      </c>
      <c r="CK173" s="152"/>
      <c r="CL173" s="138">
        <v>101</v>
      </c>
      <c r="CM173" s="190">
        <v>8191</v>
      </c>
      <c r="CN173" s="146"/>
      <c r="CO173" s="150">
        <v>1.2469437652811737</v>
      </c>
      <c r="CP173" s="150">
        <v>30.363225582203686</v>
      </c>
      <c r="CQ173" s="151">
        <v>-1355.5121474789403</v>
      </c>
      <c r="CR173" s="152"/>
      <c r="CS173" s="152"/>
      <c r="CT173" s="152"/>
      <c r="CU173" s="150">
        <v>67.73472022694622</v>
      </c>
      <c r="CV173" s="151">
        <v>280.0634843120498</v>
      </c>
      <c r="CW173" s="151">
        <v>12.830174223502553</v>
      </c>
      <c r="CX173" s="154">
        <v>7967.403247466732</v>
      </c>
      <c r="CY173" s="146">
        <v>20767</v>
      </c>
      <c r="CZ173" s="139">
        <v>7933</v>
      </c>
      <c r="DA173" s="139">
        <v>55442</v>
      </c>
      <c r="DB173" s="139">
        <v>-47509</v>
      </c>
      <c r="DC173" s="146">
        <v>23287</v>
      </c>
      <c r="DD173" s="146">
        <v>26385</v>
      </c>
      <c r="DE173" s="160"/>
      <c r="DG173" s="138">
        <v>-176</v>
      </c>
      <c r="DH173" s="138">
        <v>304</v>
      </c>
      <c r="DI173" s="139">
        <v>2291</v>
      </c>
      <c r="DJ173" s="138">
        <v>3244</v>
      </c>
      <c r="DK173" s="139"/>
      <c r="DM173" s="139">
        <v>-953</v>
      </c>
      <c r="DN173" s="139">
        <v>406</v>
      </c>
      <c r="DO173" s="139"/>
      <c r="DQ173" s="138">
        <v>-547</v>
      </c>
      <c r="DR173" s="139">
        <v>5679</v>
      </c>
      <c r="DS173" s="139">
        <v>2272</v>
      </c>
      <c r="DT173" s="176"/>
      <c r="DU173" s="139">
        <v>361</v>
      </c>
      <c r="DV173" s="151">
        <v>-1786</v>
      </c>
      <c r="DW173" s="138">
        <v>-5296</v>
      </c>
      <c r="DX173" s="138">
        <v>23287</v>
      </c>
      <c r="DY173" s="146">
        <v>20115</v>
      </c>
      <c r="DZ173" s="196">
        <v>1695</v>
      </c>
      <c r="EA173" s="146">
        <v>1477</v>
      </c>
      <c r="EB173" s="114">
        <v>20</v>
      </c>
      <c r="EC173" s="152"/>
      <c r="ED173" s="138">
        <v>155</v>
      </c>
      <c r="EE173" s="138">
        <v>25583</v>
      </c>
      <c r="EF173" s="138">
        <v>27663</v>
      </c>
      <c r="EG173" s="138">
        <v>27473</v>
      </c>
      <c r="EH173" s="138"/>
      <c r="EI173" s="138"/>
      <c r="EJ173" s="138"/>
      <c r="EK173" s="3">
        <v>-8799</v>
      </c>
      <c r="EL173" s="138">
        <v>1577</v>
      </c>
      <c r="EM173" s="138">
        <v>565</v>
      </c>
      <c r="EN173" s="3">
        <v>-5870</v>
      </c>
      <c r="EO173" s="138">
        <v>1500</v>
      </c>
      <c r="EP173" s="138">
        <v>1132</v>
      </c>
      <c r="EQ173" s="3">
        <v>-7771</v>
      </c>
      <c r="ER173" s="138">
        <v>132</v>
      </c>
      <c r="ES173" s="138">
        <v>71</v>
      </c>
      <c r="ET173" s="163">
        <v>4200</v>
      </c>
      <c r="EU173" s="163"/>
      <c r="EV173" s="138"/>
      <c r="EW173" s="138"/>
      <c r="EX173" s="138">
        <v>4500</v>
      </c>
      <c r="EY173" s="138"/>
      <c r="EZ173" s="138">
        <v>11095</v>
      </c>
      <c r="FA173" s="138">
        <v>9332</v>
      </c>
      <c r="FB173" s="138">
        <v>1763</v>
      </c>
      <c r="FC173" s="138">
        <v>407</v>
      </c>
      <c r="FD173" s="138">
        <v>9327</v>
      </c>
      <c r="FE173" s="138">
        <v>7766</v>
      </c>
      <c r="FF173" s="138">
        <v>1561</v>
      </c>
      <c r="FG173" s="138">
        <v>407</v>
      </c>
      <c r="FH173" s="138">
        <v>12040</v>
      </c>
      <c r="FI173" s="138">
        <v>10028</v>
      </c>
      <c r="FJ173" s="138">
        <v>2012</v>
      </c>
      <c r="FK173" s="138">
        <v>407</v>
      </c>
      <c r="FL173" s="147">
        <v>2670</v>
      </c>
      <c r="FM173" s="147">
        <v>2406.355320173327</v>
      </c>
      <c r="FO173" s="181">
        <f t="shared" si="6"/>
        <v>1005.75</v>
      </c>
      <c r="FP173" s="179">
        <f t="shared" si="8"/>
        <v>122.78720546941766</v>
      </c>
      <c r="FR173" s="184"/>
      <c r="FV173" s="184">
        <v>1157</v>
      </c>
      <c r="FW173" s="2">
        <f t="shared" si="7"/>
        <v>-1157</v>
      </c>
    </row>
    <row r="174" spans="1:179" ht="12.75">
      <c r="A174" s="82">
        <v>543</v>
      </c>
      <c r="B174" s="80" t="s">
        <v>170</v>
      </c>
      <c r="C174" s="191">
        <v>40349</v>
      </c>
      <c r="D174" s="146"/>
      <c r="E174" s="150">
        <v>1.9453993933265925</v>
      </c>
      <c r="F174" s="150">
        <v>50.1</v>
      </c>
      <c r="G174" s="151">
        <v>-1872</v>
      </c>
      <c r="H174" s="152"/>
      <c r="I174" s="152"/>
      <c r="J174" s="152"/>
      <c r="K174" s="150">
        <v>55.1</v>
      </c>
      <c r="L174" s="151">
        <v>511</v>
      </c>
      <c r="M174" s="151">
        <v>33</v>
      </c>
      <c r="N174" s="154">
        <v>6895.665108372291</v>
      </c>
      <c r="O174" s="146">
        <v>97535</v>
      </c>
      <c r="P174" s="139">
        <v>36906</v>
      </c>
      <c r="Q174" s="139">
        <v>197731</v>
      </c>
      <c r="R174" s="139">
        <v>-160825</v>
      </c>
      <c r="S174" s="146">
        <v>150027</v>
      </c>
      <c r="T174" s="139">
        <v>28449</v>
      </c>
      <c r="U174" s="160"/>
      <c r="W174" s="138">
        <v>-1473</v>
      </c>
      <c r="X174" s="138">
        <v>2342</v>
      </c>
      <c r="Y174" s="139">
        <v>18520</v>
      </c>
      <c r="Z174" s="138">
        <v>11566</v>
      </c>
      <c r="AC174" s="139">
        <v>6954</v>
      </c>
      <c r="AD174" s="139">
        <v>12</v>
      </c>
      <c r="AG174" s="139">
        <v>6966</v>
      </c>
      <c r="AH174" s="139">
        <v>54597</v>
      </c>
      <c r="AI174" s="139">
        <v>12044</v>
      </c>
      <c r="AJ174" s="176"/>
      <c r="AK174" s="138">
        <v>1190</v>
      </c>
      <c r="AL174" s="151">
        <v>-9170</v>
      </c>
      <c r="AM174" s="151">
        <v>3000</v>
      </c>
      <c r="AN174" s="146">
        <v>150027</v>
      </c>
      <c r="AO174" s="139">
        <v>137247</v>
      </c>
      <c r="AP174" s="139">
        <v>6366</v>
      </c>
      <c r="AQ174" s="139">
        <v>6414</v>
      </c>
      <c r="AR174" s="114">
        <v>19</v>
      </c>
      <c r="AS174" s="152"/>
      <c r="AT174" s="138">
        <v>51</v>
      </c>
      <c r="AU174" s="191">
        <v>40719</v>
      </c>
      <c r="AV174" s="146"/>
      <c r="AW174" s="150">
        <v>1.1556874574292109</v>
      </c>
      <c r="AX174" s="150">
        <v>55.7</v>
      </c>
      <c r="AY174" s="151">
        <v>-2191</v>
      </c>
      <c r="AZ174" s="152"/>
      <c r="BA174" s="152"/>
      <c r="BB174" s="152"/>
      <c r="BC174" s="150">
        <v>52.5</v>
      </c>
      <c r="BD174" s="151">
        <v>544</v>
      </c>
      <c r="BE174" s="151">
        <v>33</v>
      </c>
      <c r="BF174" s="154">
        <v>6031.38583953437</v>
      </c>
      <c r="BG174" s="146">
        <v>102006</v>
      </c>
      <c r="BH174" s="139">
        <v>33677</v>
      </c>
      <c r="BI174" s="139">
        <v>209017</v>
      </c>
      <c r="BJ174" s="139">
        <v>-175340</v>
      </c>
      <c r="BK174" s="146">
        <v>156236</v>
      </c>
      <c r="BL174" s="146">
        <v>28851</v>
      </c>
      <c r="BM174" s="160"/>
      <c r="BO174" s="138">
        <v>-1103</v>
      </c>
      <c r="BP174" s="138">
        <v>2112</v>
      </c>
      <c r="BQ174" s="139">
        <v>10756</v>
      </c>
      <c r="BR174" s="138">
        <v>12234</v>
      </c>
      <c r="BU174" s="139">
        <v>-1478</v>
      </c>
      <c r="BV174" s="139">
        <v>12</v>
      </c>
      <c r="BY174" s="138">
        <v>-1466</v>
      </c>
      <c r="BZ174" s="139">
        <v>56421</v>
      </c>
      <c r="CA174" s="139">
        <v>8721</v>
      </c>
      <c r="CB174" s="176"/>
      <c r="CC174" s="138">
        <v>1225</v>
      </c>
      <c r="CD174" s="151">
        <v>-9156</v>
      </c>
      <c r="CE174" s="151">
        <v>-14099</v>
      </c>
      <c r="CF174" s="138">
        <v>156236</v>
      </c>
      <c r="CG174" s="139">
        <v>144367</v>
      </c>
      <c r="CH174" s="139">
        <v>5169</v>
      </c>
      <c r="CI174" s="139">
        <v>6700</v>
      </c>
      <c r="CJ174" s="114">
        <v>19</v>
      </c>
      <c r="CK174" s="152"/>
      <c r="CL174" s="138">
        <v>76</v>
      </c>
      <c r="CM174" s="190">
        <v>41178</v>
      </c>
      <c r="CN174" s="146"/>
      <c r="CO174" s="150">
        <v>1.458952228020875</v>
      </c>
      <c r="CP174" s="150">
        <v>58.682484250296795</v>
      </c>
      <c r="CQ174" s="151">
        <v>-2529.77317985332</v>
      </c>
      <c r="CR174" s="152"/>
      <c r="CS174" s="152"/>
      <c r="CT174" s="152"/>
      <c r="CU174" s="150">
        <v>50.13418911435185</v>
      </c>
      <c r="CV174" s="151">
        <v>490.6017776482588</v>
      </c>
      <c r="CW174" s="151">
        <v>28.011647254575706</v>
      </c>
      <c r="CX174" s="154">
        <v>6392.685414541746</v>
      </c>
      <c r="CY174" s="146">
        <v>104107</v>
      </c>
      <c r="CZ174" s="139">
        <v>34610</v>
      </c>
      <c r="DA174" s="139">
        <v>218371</v>
      </c>
      <c r="DB174" s="139">
        <v>-183761</v>
      </c>
      <c r="DC174" s="146">
        <v>167982</v>
      </c>
      <c r="DD174" s="146">
        <v>28206</v>
      </c>
      <c r="DE174" s="160"/>
      <c r="DG174" s="138">
        <v>-816</v>
      </c>
      <c r="DH174" s="138">
        <v>2095</v>
      </c>
      <c r="DI174" s="139">
        <v>13706</v>
      </c>
      <c r="DJ174" s="138">
        <v>13491</v>
      </c>
      <c r="DM174" s="139">
        <v>215</v>
      </c>
      <c r="DN174" s="139">
        <v>12</v>
      </c>
      <c r="DQ174" s="138">
        <v>227</v>
      </c>
      <c r="DR174" s="139">
        <v>56648</v>
      </c>
      <c r="DS174" s="139">
        <v>10537</v>
      </c>
      <c r="DT174" s="176"/>
      <c r="DU174" s="138">
        <v>-520</v>
      </c>
      <c r="DV174" s="151">
        <v>-9133</v>
      </c>
      <c r="DW174" s="138">
        <v>-17963</v>
      </c>
      <c r="DX174" s="138">
        <v>167982</v>
      </c>
      <c r="DY174" s="146">
        <v>155554</v>
      </c>
      <c r="DZ174" s="196">
        <v>5347</v>
      </c>
      <c r="EA174" s="146">
        <v>7081</v>
      </c>
      <c r="EB174" s="114">
        <v>19</v>
      </c>
      <c r="EC174" s="152"/>
      <c r="ED174" s="138">
        <v>121</v>
      </c>
      <c r="EE174" s="138">
        <v>72572</v>
      </c>
      <c r="EF174" s="138">
        <v>78248</v>
      </c>
      <c r="EG174" s="138">
        <v>83878</v>
      </c>
      <c r="EH174" s="138"/>
      <c r="EI174" s="138"/>
      <c r="EJ174" s="138"/>
      <c r="EK174" s="3">
        <v>-17765</v>
      </c>
      <c r="EL174" s="138">
        <v>176</v>
      </c>
      <c r="EM174" s="138">
        <v>8545</v>
      </c>
      <c r="EN174" s="3">
        <v>-26289</v>
      </c>
      <c r="EO174" s="138">
        <v>311</v>
      </c>
      <c r="EP174" s="138">
        <v>3158</v>
      </c>
      <c r="EQ174" s="3">
        <v>-33300</v>
      </c>
      <c r="ER174" s="138">
        <v>673</v>
      </c>
      <c r="ES174" s="138">
        <v>4127</v>
      </c>
      <c r="ET174" s="163">
        <v>30000</v>
      </c>
      <c r="EU174" s="163">
        <v>-28707</v>
      </c>
      <c r="EV174" s="138"/>
      <c r="EW174" s="138">
        <v>17897</v>
      </c>
      <c r="EX174" s="138">
        <v>35000</v>
      </c>
      <c r="EY174" s="138">
        <v>-14498</v>
      </c>
      <c r="EZ174" s="138">
        <v>75643</v>
      </c>
      <c r="FA174" s="138">
        <v>47491</v>
      </c>
      <c r="FB174" s="138">
        <v>28152</v>
      </c>
      <c r="FC174" s="138">
        <v>2093</v>
      </c>
      <c r="FD174" s="138">
        <v>84385</v>
      </c>
      <c r="FE174" s="138">
        <v>38358</v>
      </c>
      <c r="FF174" s="138">
        <v>46027</v>
      </c>
      <c r="FG174" s="138">
        <v>1987</v>
      </c>
      <c r="FH174" s="138">
        <v>95755</v>
      </c>
      <c r="FI174" s="138">
        <v>66866</v>
      </c>
      <c r="FJ174" s="138">
        <v>28889</v>
      </c>
      <c r="FK174" s="138">
        <v>3483</v>
      </c>
      <c r="FL174" s="147">
        <v>3087</v>
      </c>
      <c r="FM174" s="147">
        <v>3338.0240182715684</v>
      </c>
      <c r="FO174" s="181">
        <f t="shared" si="6"/>
        <v>8187.0526315789475</v>
      </c>
      <c r="FP174" s="179">
        <f t="shared" si="8"/>
        <v>198.82103627128436</v>
      </c>
      <c r="FR174" s="184"/>
      <c r="FV174" s="184">
        <v>9170</v>
      </c>
      <c r="FW174" s="2">
        <f t="shared" si="7"/>
        <v>-9170</v>
      </c>
    </row>
    <row r="175" spans="1:179" ht="12.75">
      <c r="A175" s="82">
        <v>545</v>
      </c>
      <c r="B175" s="80" t="s">
        <v>171</v>
      </c>
      <c r="C175" s="191">
        <v>9412</v>
      </c>
      <c r="D175" s="146"/>
      <c r="E175" s="150">
        <v>1.6456783056668576</v>
      </c>
      <c r="F175" s="150">
        <v>32.2</v>
      </c>
      <c r="G175" s="151">
        <v>-266</v>
      </c>
      <c r="H175" s="152"/>
      <c r="I175" s="152"/>
      <c r="J175" s="152"/>
      <c r="K175" s="150">
        <v>66.7</v>
      </c>
      <c r="L175" s="151">
        <v>1276</v>
      </c>
      <c r="M175" s="151">
        <v>70</v>
      </c>
      <c r="N175" s="154">
        <v>5426.476877023642</v>
      </c>
      <c r="O175" s="146">
        <v>29515</v>
      </c>
      <c r="P175" s="139">
        <v>8306</v>
      </c>
      <c r="Q175" s="139">
        <v>55973</v>
      </c>
      <c r="R175" s="139">
        <v>-47667</v>
      </c>
      <c r="S175" s="146">
        <v>27210</v>
      </c>
      <c r="T175" s="139">
        <v>23362</v>
      </c>
      <c r="U175" s="160"/>
      <c r="W175" s="138">
        <v>-190</v>
      </c>
      <c r="X175" s="138">
        <v>156</v>
      </c>
      <c r="Y175" s="139">
        <v>2871</v>
      </c>
      <c r="Z175" s="138">
        <v>2110</v>
      </c>
      <c r="AB175" s="138">
        <v>329</v>
      </c>
      <c r="AC175" s="139">
        <v>433</v>
      </c>
      <c r="AD175" s="139"/>
      <c r="AG175" s="139">
        <v>433</v>
      </c>
      <c r="AH175" s="139">
        <v>3384</v>
      </c>
      <c r="AI175" s="139">
        <v>2503</v>
      </c>
      <c r="AJ175" s="176"/>
      <c r="AK175" s="139">
        <v>-923</v>
      </c>
      <c r="AL175" s="151">
        <v>-1743</v>
      </c>
      <c r="AM175" s="151">
        <v>-729</v>
      </c>
      <c r="AN175" s="146">
        <v>27210</v>
      </c>
      <c r="AO175" s="139">
        <v>23290</v>
      </c>
      <c r="AP175" s="139">
        <v>2254</v>
      </c>
      <c r="AQ175" s="139">
        <v>1666</v>
      </c>
      <c r="AR175" s="114">
        <v>20</v>
      </c>
      <c r="AS175" s="152"/>
      <c r="AT175" s="138">
        <v>123</v>
      </c>
      <c r="AU175" s="191">
        <v>9380</v>
      </c>
      <c r="AV175" s="146"/>
      <c r="AW175" s="150">
        <v>0.6506348595613698</v>
      </c>
      <c r="AX175" s="150">
        <v>39</v>
      </c>
      <c r="AY175" s="151">
        <v>-751</v>
      </c>
      <c r="AZ175" s="152"/>
      <c r="BA175" s="152"/>
      <c r="BB175" s="152"/>
      <c r="BC175" s="150">
        <v>61.6</v>
      </c>
      <c r="BD175" s="151">
        <v>1214</v>
      </c>
      <c r="BE175" s="151">
        <v>60</v>
      </c>
      <c r="BF175" s="154">
        <v>7402.665245202558</v>
      </c>
      <c r="BG175" s="146">
        <v>30807</v>
      </c>
      <c r="BH175" s="139">
        <v>8123</v>
      </c>
      <c r="BI175" s="139">
        <v>59111</v>
      </c>
      <c r="BJ175" s="139">
        <v>-50988</v>
      </c>
      <c r="BK175" s="146">
        <v>27628</v>
      </c>
      <c r="BL175" s="146">
        <v>24117</v>
      </c>
      <c r="BM175" s="160"/>
      <c r="BO175" s="138">
        <v>-167</v>
      </c>
      <c r="BP175" s="138">
        <v>803</v>
      </c>
      <c r="BQ175" s="139">
        <v>1393</v>
      </c>
      <c r="BR175" s="138">
        <v>2226</v>
      </c>
      <c r="BU175" s="139">
        <v>-833</v>
      </c>
      <c r="BV175" s="139">
        <v>-1458</v>
      </c>
      <c r="BW175" s="138">
        <v>1500</v>
      </c>
      <c r="BY175" s="138">
        <v>-791</v>
      </c>
      <c r="BZ175" s="139">
        <v>2592</v>
      </c>
      <c r="CA175" s="139">
        <v>1363</v>
      </c>
      <c r="CB175" s="176"/>
      <c r="CC175" s="139">
        <v>-448</v>
      </c>
      <c r="CD175" s="151">
        <v>-2301</v>
      </c>
      <c r="CE175" s="151">
        <v>-4841</v>
      </c>
      <c r="CF175" s="138">
        <v>27628</v>
      </c>
      <c r="CG175" s="139">
        <v>24146</v>
      </c>
      <c r="CH175" s="139">
        <v>1737</v>
      </c>
      <c r="CI175" s="139">
        <v>1745</v>
      </c>
      <c r="CJ175" s="114">
        <v>20</v>
      </c>
      <c r="CK175" s="152"/>
      <c r="CL175" s="138">
        <v>154</v>
      </c>
      <c r="CM175" s="190">
        <v>9335</v>
      </c>
      <c r="CN175" s="146"/>
      <c r="CO175" s="150">
        <v>0.9346382383781895</v>
      </c>
      <c r="CP175" s="150">
        <v>40.244076846069504</v>
      </c>
      <c r="CQ175" s="151">
        <v>-762.8280664167113</v>
      </c>
      <c r="CR175" s="152"/>
      <c r="CS175" s="152"/>
      <c r="CT175" s="152"/>
      <c r="CU175" s="150">
        <v>59.7082345971564</v>
      </c>
      <c r="CV175" s="151">
        <v>1533.047670058918</v>
      </c>
      <c r="CW175" s="151">
        <v>75.78439195659114</v>
      </c>
      <c r="CX175" s="154">
        <v>7383.610069630423</v>
      </c>
      <c r="CY175" s="146">
        <v>31101</v>
      </c>
      <c r="CZ175" s="139">
        <v>9129</v>
      </c>
      <c r="DA175" s="139">
        <v>61087</v>
      </c>
      <c r="DB175" s="139">
        <v>-51958</v>
      </c>
      <c r="DC175" s="146">
        <v>29636</v>
      </c>
      <c r="DD175" s="146">
        <v>24166</v>
      </c>
      <c r="DE175" s="160"/>
      <c r="DG175" s="138">
        <v>-207</v>
      </c>
      <c r="DH175" s="138">
        <v>758</v>
      </c>
      <c r="DI175" s="139">
        <v>2395</v>
      </c>
      <c r="DJ175" s="138">
        <v>2453</v>
      </c>
      <c r="DM175" s="139">
        <v>-58</v>
      </c>
      <c r="DN175" s="139">
        <v>-377</v>
      </c>
      <c r="DO175" s="138">
        <v>500</v>
      </c>
      <c r="DQ175" s="138">
        <v>65</v>
      </c>
      <c r="DR175" s="139">
        <v>2657</v>
      </c>
      <c r="DS175" s="139">
        <v>1651</v>
      </c>
      <c r="DT175" s="176"/>
      <c r="DU175" s="139">
        <v>1002</v>
      </c>
      <c r="DV175" s="151">
        <v>-2582</v>
      </c>
      <c r="DW175" s="138">
        <v>-119</v>
      </c>
      <c r="DX175" s="138">
        <v>29636</v>
      </c>
      <c r="DY175" s="146">
        <v>26024</v>
      </c>
      <c r="DZ175" s="196">
        <v>1820</v>
      </c>
      <c r="EA175" s="146">
        <v>1792</v>
      </c>
      <c r="EB175" s="114">
        <v>20.5</v>
      </c>
      <c r="EC175" s="152"/>
      <c r="ED175" s="138">
        <v>167</v>
      </c>
      <c r="EE175" s="138">
        <v>19790</v>
      </c>
      <c r="EF175" s="138">
        <v>21259</v>
      </c>
      <c r="EG175" s="138">
        <v>22879</v>
      </c>
      <c r="EH175" s="138"/>
      <c r="EI175" s="138"/>
      <c r="EJ175" s="138"/>
      <c r="EK175" s="3">
        <v>-4166</v>
      </c>
      <c r="EL175" s="138">
        <v>934</v>
      </c>
      <c r="EM175" s="138"/>
      <c r="EN175" s="3">
        <v>-7658</v>
      </c>
      <c r="EO175" s="138">
        <v>1399</v>
      </c>
      <c r="EP175" s="138">
        <v>55</v>
      </c>
      <c r="EQ175" s="3">
        <v>-4698</v>
      </c>
      <c r="ER175" s="138">
        <v>636</v>
      </c>
      <c r="ES175" s="138">
        <v>2292</v>
      </c>
      <c r="ET175" s="163">
        <v>2961</v>
      </c>
      <c r="EU175" s="163"/>
      <c r="EV175" s="138">
        <v>3000</v>
      </c>
      <c r="EW175" s="138">
        <v>3492</v>
      </c>
      <c r="EX175" s="138">
        <v>5240</v>
      </c>
      <c r="EY175" s="138">
        <v>-1492</v>
      </c>
      <c r="EZ175" s="138">
        <v>11814</v>
      </c>
      <c r="FA175" s="138">
        <v>9700</v>
      </c>
      <c r="FB175" s="138">
        <v>2114</v>
      </c>
      <c r="FC175" s="138">
        <v>869</v>
      </c>
      <c r="FD175" s="138">
        <v>16005</v>
      </c>
      <c r="FE175" s="138">
        <v>10180</v>
      </c>
      <c r="FF175" s="138">
        <v>5825</v>
      </c>
      <c r="FG175" s="138">
        <v>853</v>
      </c>
      <c r="FH175" s="138">
        <v>17169</v>
      </c>
      <c r="FI175" s="138">
        <v>12580</v>
      </c>
      <c r="FJ175" s="138">
        <v>4589</v>
      </c>
      <c r="FK175" s="138">
        <v>819</v>
      </c>
      <c r="FL175" s="147">
        <v>2759</v>
      </c>
      <c r="FM175" s="147">
        <v>3482.9424307036247</v>
      </c>
      <c r="FO175" s="181">
        <f t="shared" si="6"/>
        <v>1269.4634146341464</v>
      </c>
      <c r="FP175" s="179">
        <f t="shared" si="8"/>
        <v>135.98965341554862</v>
      </c>
      <c r="FR175" s="184"/>
      <c r="FV175" s="184">
        <v>1743</v>
      </c>
      <c r="FW175" s="2">
        <f t="shared" si="7"/>
        <v>-1743</v>
      </c>
    </row>
    <row r="176" spans="1:179" ht="12.75">
      <c r="A176" s="82">
        <v>560</v>
      </c>
      <c r="B176" s="80" t="s">
        <v>172</v>
      </c>
      <c r="C176" s="191">
        <v>16369</v>
      </c>
      <c r="D176" s="146"/>
      <c r="E176" s="150">
        <v>1.8854981084489282</v>
      </c>
      <c r="F176" s="150">
        <v>37.8</v>
      </c>
      <c r="G176" s="151">
        <v>-1600</v>
      </c>
      <c r="H176" s="152"/>
      <c r="I176" s="152"/>
      <c r="J176" s="152"/>
      <c r="K176" s="150">
        <v>57</v>
      </c>
      <c r="L176" s="151">
        <v>282</v>
      </c>
      <c r="M176" s="151">
        <v>18</v>
      </c>
      <c r="N176" s="154">
        <v>101075.94936708861</v>
      </c>
      <c r="O176" s="146">
        <v>23408</v>
      </c>
      <c r="P176" s="139">
        <v>9478</v>
      </c>
      <c r="Q176" s="139">
        <v>83618</v>
      </c>
      <c r="R176" s="139">
        <v>-74140</v>
      </c>
      <c r="S176" s="146">
        <v>46959</v>
      </c>
      <c r="T176" s="139">
        <v>33023</v>
      </c>
      <c r="U176" s="160"/>
      <c r="W176" s="138">
        <v>-302</v>
      </c>
      <c r="X176" s="138">
        <v>1577</v>
      </c>
      <c r="Y176" s="139">
        <v>7117</v>
      </c>
      <c r="Z176" s="138">
        <v>2087</v>
      </c>
      <c r="AC176" s="139">
        <v>5030</v>
      </c>
      <c r="AD176" s="139">
        <v>23</v>
      </c>
      <c r="AG176" s="139">
        <v>5053</v>
      </c>
      <c r="AH176" s="139">
        <v>5222</v>
      </c>
      <c r="AI176" s="139">
        <v>6932</v>
      </c>
      <c r="AJ176" s="176"/>
      <c r="AK176" s="139">
        <v>-1082</v>
      </c>
      <c r="AL176" s="151">
        <v>-3606</v>
      </c>
      <c r="AM176" s="151">
        <v>3566</v>
      </c>
      <c r="AN176" s="146">
        <v>46959</v>
      </c>
      <c r="AO176" s="139">
        <v>41376</v>
      </c>
      <c r="AP176" s="139">
        <v>2845</v>
      </c>
      <c r="AQ176" s="139">
        <v>2738</v>
      </c>
      <c r="AR176" s="114">
        <v>19.75</v>
      </c>
      <c r="AS176" s="152"/>
      <c r="AT176" s="138">
        <v>61</v>
      </c>
      <c r="AU176" s="191">
        <v>16300</v>
      </c>
      <c r="AV176" s="146"/>
      <c r="AW176" s="150">
        <v>0.8901923979352416</v>
      </c>
      <c r="AX176" s="150">
        <v>38.9</v>
      </c>
      <c r="AY176" s="151">
        <v>-1884</v>
      </c>
      <c r="AZ176" s="152"/>
      <c r="BA176" s="152"/>
      <c r="BB176" s="152"/>
      <c r="BC176" s="150">
        <v>56.3</v>
      </c>
      <c r="BD176" s="151">
        <v>167</v>
      </c>
      <c r="BE176" s="151">
        <v>10</v>
      </c>
      <c r="BF176" s="154">
        <v>6346.01226993865</v>
      </c>
      <c r="BG176" s="146">
        <v>24804</v>
      </c>
      <c r="BH176" s="139">
        <v>10071</v>
      </c>
      <c r="BI176" s="139">
        <v>89408</v>
      </c>
      <c r="BJ176" s="139">
        <v>-79337</v>
      </c>
      <c r="BK176" s="146">
        <v>47771</v>
      </c>
      <c r="BL176" s="146">
        <v>33385</v>
      </c>
      <c r="BM176" s="160"/>
      <c r="BO176" s="138">
        <v>-215</v>
      </c>
      <c r="BP176" s="138">
        <v>1527</v>
      </c>
      <c r="BQ176" s="139">
        <v>3131</v>
      </c>
      <c r="BR176" s="138">
        <v>2267</v>
      </c>
      <c r="BU176" s="139">
        <v>864</v>
      </c>
      <c r="BV176" s="139">
        <v>23</v>
      </c>
      <c r="BY176" s="138">
        <v>887</v>
      </c>
      <c r="BZ176" s="139">
        <v>6109</v>
      </c>
      <c r="CA176" s="139">
        <v>2925</v>
      </c>
      <c r="CB176" s="176"/>
      <c r="CC176" s="139">
        <v>953</v>
      </c>
      <c r="CD176" s="151">
        <v>-3599</v>
      </c>
      <c r="CE176" s="151">
        <v>-301</v>
      </c>
      <c r="CF176" s="138">
        <v>47771</v>
      </c>
      <c r="CG176" s="139">
        <v>42847</v>
      </c>
      <c r="CH176" s="139">
        <v>1971</v>
      </c>
      <c r="CI176" s="139">
        <v>2953</v>
      </c>
      <c r="CJ176" s="114">
        <v>19.75</v>
      </c>
      <c r="CK176" s="152"/>
      <c r="CL176" s="138">
        <v>120</v>
      </c>
      <c r="CM176" s="190">
        <v>16347</v>
      </c>
      <c r="CN176" s="146"/>
      <c r="CO176" s="150">
        <v>0.8273365511189118</v>
      </c>
      <c r="CP176" s="150">
        <v>47.49876336107706</v>
      </c>
      <c r="CQ176" s="151">
        <v>-2192.206521074203</v>
      </c>
      <c r="CR176" s="152"/>
      <c r="CS176" s="152"/>
      <c r="CT176" s="152"/>
      <c r="CU176" s="150">
        <v>50.8724245621889</v>
      </c>
      <c r="CV176" s="151">
        <v>384.229522236496</v>
      </c>
      <c r="CW176" s="151">
        <v>21.63879109366004</v>
      </c>
      <c r="CX176" s="154">
        <v>6481.12803572521</v>
      </c>
      <c r="CY176" s="146">
        <v>25122</v>
      </c>
      <c r="CZ176" s="139">
        <v>9546</v>
      </c>
      <c r="DA176" s="139">
        <v>91727</v>
      </c>
      <c r="DB176" s="139">
        <v>-82181</v>
      </c>
      <c r="DC176" s="146">
        <v>50666</v>
      </c>
      <c r="DD176" s="146">
        <v>32782</v>
      </c>
      <c r="DE176" s="160"/>
      <c r="DG176" s="138">
        <v>-130</v>
      </c>
      <c r="DH176" s="138">
        <v>2075</v>
      </c>
      <c r="DI176" s="139">
        <v>3212</v>
      </c>
      <c r="DJ176" s="138">
        <v>3251</v>
      </c>
      <c r="DM176" s="139">
        <v>-39</v>
      </c>
      <c r="DN176" s="139">
        <v>24</v>
      </c>
      <c r="DQ176" s="138">
        <v>-15</v>
      </c>
      <c r="DR176" s="139">
        <v>6094</v>
      </c>
      <c r="DS176" s="139">
        <v>3089</v>
      </c>
      <c r="DT176" s="176"/>
      <c r="DU176" s="139">
        <v>26</v>
      </c>
      <c r="DV176" s="151">
        <v>-3999</v>
      </c>
      <c r="DW176" s="138">
        <v>-2017</v>
      </c>
      <c r="DX176" s="138">
        <v>50666</v>
      </c>
      <c r="DY176" s="146">
        <v>45407</v>
      </c>
      <c r="DZ176" s="196">
        <v>2015</v>
      </c>
      <c r="EA176" s="146">
        <v>3244</v>
      </c>
      <c r="EB176" s="114">
        <v>19.75</v>
      </c>
      <c r="EC176" s="152"/>
      <c r="ED176" s="138">
        <v>199</v>
      </c>
      <c r="EE176" s="138">
        <v>53950</v>
      </c>
      <c r="EF176" s="138">
        <v>58362</v>
      </c>
      <c r="EG176" s="138">
        <v>60113</v>
      </c>
      <c r="EH176" s="138"/>
      <c r="EI176" s="138"/>
      <c r="EJ176" s="138"/>
      <c r="EK176" s="3">
        <v>-4044</v>
      </c>
      <c r="EL176" s="138">
        <v>306</v>
      </c>
      <c r="EM176" s="138">
        <v>371</v>
      </c>
      <c r="EN176" s="3">
        <v>-5096</v>
      </c>
      <c r="EO176" s="138">
        <v>11</v>
      </c>
      <c r="EP176" s="138">
        <v>1859</v>
      </c>
      <c r="EQ176" s="3">
        <v>-5762</v>
      </c>
      <c r="ER176" s="138">
        <v>261</v>
      </c>
      <c r="ES176" s="138">
        <v>395</v>
      </c>
      <c r="ET176" s="163"/>
      <c r="EU176" s="163">
        <v>1000</v>
      </c>
      <c r="EV176" s="138">
        <v>3700</v>
      </c>
      <c r="EW176" s="138">
        <v>1500</v>
      </c>
      <c r="EX176" s="138">
        <v>7884</v>
      </c>
      <c r="EY176" s="138">
        <v>4000</v>
      </c>
      <c r="EZ176" s="138">
        <v>24928</v>
      </c>
      <c r="FA176" s="138">
        <v>18829</v>
      </c>
      <c r="FB176" s="138">
        <v>6099</v>
      </c>
      <c r="FC176" s="138">
        <v>12086</v>
      </c>
      <c r="FD176" s="138">
        <v>26529</v>
      </c>
      <c r="FE176" s="138">
        <v>18531</v>
      </c>
      <c r="FF176" s="138">
        <v>7998</v>
      </c>
      <c r="FG176" s="138">
        <v>16348</v>
      </c>
      <c r="FH176" s="138">
        <v>34413</v>
      </c>
      <c r="FI176" s="138">
        <v>21694</v>
      </c>
      <c r="FJ176" s="138">
        <v>12719</v>
      </c>
      <c r="FK176" s="138">
        <v>19480</v>
      </c>
      <c r="FL176" s="147">
        <v>3046</v>
      </c>
      <c r="FM176" s="147">
        <v>3085.58282208589</v>
      </c>
      <c r="FO176" s="181">
        <f t="shared" si="6"/>
        <v>2299.0886075949365</v>
      </c>
      <c r="FP176" s="179">
        <f t="shared" si="8"/>
        <v>140.64284624670805</v>
      </c>
      <c r="FR176" s="184"/>
      <c r="FV176" s="184">
        <v>3606</v>
      </c>
      <c r="FW176" s="2">
        <f t="shared" si="7"/>
        <v>-3606</v>
      </c>
    </row>
    <row r="177" spans="1:179" ht="12.75">
      <c r="A177" s="82">
        <v>561</v>
      </c>
      <c r="B177" s="80" t="s">
        <v>173</v>
      </c>
      <c r="C177" s="191">
        <v>1422</v>
      </c>
      <c r="D177" s="146"/>
      <c r="E177" s="150">
        <v>0.9597701149425287</v>
      </c>
      <c r="F177" s="150">
        <v>20.7</v>
      </c>
      <c r="G177" s="151">
        <v>79</v>
      </c>
      <c r="H177" s="152"/>
      <c r="I177" s="152"/>
      <c r="J177" s="152"/>
      <c r="K177" s="150">
        <v>76.2</v>
      </c>
      <c r="L177" s="151">
        <v>795</v>
      </c>
      <c r="M177" s="151">
        <v>47</v>
      </c>
      <c r="N177" s="154">
        <v>6834.202294056308</v>
      </c>
      <c r="O177" s="146">
        <v>2978</v>
      </c>
      <c r="P177" s="139">
        <v>1172</v>
      </c>
      <c r="Q177" s="139">
        <v>7822</v>
      </c>
      <c r="R177" s="139">
        <v>-6650</v>
      </c>
      <c r="S177" s="146">
        <v>3647</v>
      </c>
      <c r="T177" s="139">
        <v>2990</v>
      </c>
      <c r="U177" s="160"/>
      <c r="W177" s="138">
        <v>42</v>
      </c>
      <c r="X177" s="138">
        <v>2</v>
      </c>
      <c r="Y177" s="139">
        <v>31</v>
      </c>
      <c r="Z177" s="138">
        <v>220</v>
      </c>
      <c r="AC177" s="139">
        <v>-189</v>
      </c>
      <c r="AD177" s="138">
        <v>15</v>
      </c>
      <c r="AG177" s="139">
        <v>-174</v>
      </c>
      <c r="AH177" s="139">
        <v>1439</v>
      </c>
      <c r="AI177" s="139">
        <v>31</v>
      </c>
      <c r="AJ177" s="176"/>
      <c r="AK177" s="139">
        <v>-232</v>
      </c>
      <c r="AL177" s="151">
        <v>-52</v>
      </c>
      <c r="AM177" s="151">
        <v>-695</v>
      </c>
      <c r="AN177" s="146">
        <v>3647</v>
      </c>
      <c r="AO177" s="139">
        <v>3080</v>
      </c>
      <c r="AP177" s="139">
        <v>322</v>
      </c>
      <c r="AQ177" s="139">
        <v>245</v>
      </c>
      <c r="AR177" s="114">
        <v>19</v>
      </c>
      <c r="AS177" s="152"/>
      <c r="AT177" s="138">
        <v>278</v>
      </c>
      <c r="AU177" s="191">
        <v>1434</v>
      </c>
      <c r="AV177" s="146"/>
      <c r="AW177" s="150">
        <v>-1.2087912087912087</v>
      </c>
      <c r="AX177" s="150">
        <v>31.1</v>
      </c>
      <c r="AY177" s="151">
        <v>-1162</v>
      </c>
      <c r="AZ177" s="152"/>
      <c r="BA177" s="152"/>
      <c r="BB177" s="152"/>
      <c r="BC177" s="150">
        <v>65.2</v>
      </c>
      <c r="BD177" s="151">
        <v>36</v>
      </c>
      <c r="BE177" s="151">
        <v>2</v>
      </c>
      <c r="BF177" s="154">
        <v>7290.794979079497</v>
      </c>
      <c r="BG177" s="146">
        <v>3227</v>
      </c>
      <c r="BH177" s="139">
        <v>1260</v>
      </c>
      <c r="BI177" s="139">
        <v>8396</v>
      </c>
      <c r="BJ177" s="139">
        <v>-7136</v>
      </c>
      <c r="BK177" s="146">
        <v>3577</v>
      </c>
      <c r="BL177" s="146">
        <v>3430</v>
      </c>
      <c r="BM177" s="160"/>
      <c r="BO177" s="138">
        <v>2</v>
      </c>
      <c r="BP177" s="138">
        <v>3</v>
      </c>
      <c r="BQ177" s="139">
        <v>-124</v>
      </c>
      <c r="BR177" s="138">
        <v>265</v>
      </c>
      <c r="BS177" s="138">
        <v>5</v>
      </c>
      <c r="BU177" s="139">
        <v>-384</v>
      </c>
      <c r="BV177" s="138">
        <v>15</v>
      </c>
      <c r="BY177" s="138">
        <v>-369</v>
      </c>
      <c r="BZ177" s="139">
        <v>1071</v>
      </c>
      <c r="CA177" s="139">
        <v>-119</v>
      </c>
      <c r="CB177" s="176"/>
      <c r="CC177" s="139">
        <v>-253</v>
      </c>
      <c r="CD177" s="151">
        <v>-77</v>
      </c>
      <c r="CE177" s="151">
        <v>-1777</v>
      </c>
      <c r="CF177" s="138">
        <v>3577</v>
      </c>
      <c r="CG177" s="139">
        <v>3062</v>
      </c>
      <c r="CH177" s="139">
        <v>289</v>
      </c>
      <c r="CI177" s="139">
        <v>226</v>
      </c>
      <c r="CJ177" s="114">
        <v>19</v>
      </c>
      <c r="CK177" s="152"/>
      <c r="CL177" s="138">
        <v>279</v>
      </c>
      <c r="CM177" s="190">
        <v>1423</v>
      </c>
      <c r="CN177" s="146"/>
      <c r="CO177" s="150">
        <v>2.265</v>
      </c>
      <c r="CP177" s="150">
        <v>33.249535468357195</v>
      </c>
      <c r="CQ177" s="151">
        <v>-1471.539002108222</v>
      </c>
      <c r="CR177" s="152"/>
      <c r="CS177" s="152"/>
      <c r="CT177" s="152"/>
      <c r="CU177" s="150">
        <v>61.88044831880448</v>
      </c>
      <c r="CV177" s="151">
        <v>281.09627547434997</v>
      </c>
      <c r="CW177" s="151">
        <v>14.674841692632425</v>
      </c>
      <c r="CX177" s="154">
        <v>6991.56711173577</v>
      </c>
      <c r="CY177" s="146">
        <v>3277</v>
      </c>
      <c r="CZ177" s="139">
        <v>1355</v>
      </c>
      <c r="DA177" s="139">
        <v>8714</v>
      </c>
      <c r="DB177" s="139">
        <v>-7359</v>
      </c>
      <c r="DC177" s="146">
        <v>4000</v>
      </c>
      <c r="DD177" s="146">
        <v>3794</v>
      </c>
      <c r="DE177" s="160"/>
      <c r="DG177" s="138">
        <v>-9</v>
      </c>
      <c r="DH177" s="138">
        <v>4</v>
      </c>
      <c r="DI177" s="139">
        <v>430</v>
      </c>
      <c r="DJ177" s="138">
        <v>309</v>
      </c>
      <c r="DM177" s="139">
        <v>121</v>
      </c>
      <c r="DN177" s="138">
        <v>15</v>
      </c>
      <c r="DQ177" s="138">
        <v>136</v>
      </c>
      <c r="DR177" s="139">
        <v>1207</v>
      </c>
      <c r="DS177" s="139">
        <v>430</v>
      </c>
      <c r="DT177" s="176"/>
      <c r="DU177" s="139">
        <v>306</v>
      </c>
      <c r="DV177" s="151">
        <v>-177</v>
      </c>
      <c r="DW177" s="138">
        <v>-427</v>
      </c>
      <c r="DX177" s="138">
        <v>4000</v>
      </c>
      <c r="DY177" s="146">
        <v>3444</v>
      </c>
      <c r="DZ177" s="196">
        <v>321</v>
      </c>
      <c r="EA177" s="146">
        <v>235</v>
      </c>
      <c r="EB177" s="114">
        <v>19.5</v>
      </c>
      <c r="EC177" s="152"/>
      <c r="ED177" s="138">
        <v>143</v>
      </c>
      <c r="EE177" s="138">
        <v>3811</v>
      </c>
      <c r="EF177" s="138">
        <v>4137</v>
      </c>
      <c r="EG177" s="138">
        <v>4419</v>
      </c>
      <c r="EH177" s="138"/>
      <c r="EI177" s="138"/>
      <c r="EJ177" s="138"/>
      <c r="EK177" s="3">
        <v>-910</v>
      </c>
      <c r="EL177" s="138">
        <v>180</v>
      </c>
      <c r="EM177" s="138">
        <v>4</v>
      </c>
      <c r="EN177" s="3">
        <v>-1968</v>
      </c>
      <c r="EO177" s="138">
        <v>292</v>
      </c>
      <c r="EP177" s="138">
        <v>18</v>
      </c>
      <c r="EQ177" s="3">
        <v>-1034</v>
      </c>
      <c r="ES177" s="138">
        <v>177</v>
      </c>
      <c r="ET177" s="163"/>
      <c r="EU177" s="163"/>
      <c r="EV177" s="138">
        <v>467</v>
      </c>
      <c r="EW177" s="138">
        <v>644</v>
      </c>
      <c r="EX177" s="138">
        <v>779</v>
      </c>
      <c r="EY177" s="138">
        <v>-545</v>
      </c>
      <c r="EZ177" s="138">
        <v>427</v>
      </c>
      <c r="FA177" s="138">
        <v>375</v>
      </c>
      <c r="FB177" s="138">
        <v>52</v>
      </c>
      <c r="FC177" s="138">
        <v>0</v>
      </c>
      <c r="FD177" s="138">
        <v>1444</v>
      </c>
      <c r="FE177" s="138">
        <v>747</v>
      </c>
      <c r="FF177" s="138">
        <v>697</v>
      </c>
      <c r="FG177" s="138">
        <v>0</v>
      </c>
      <c r="FH177" s="138">
        <v>1490</v>
      </c>
      <c r="FI177" s="138">
        <v>1338</v>
      </c>
      <c r="FJ177" s="138">
        <v>152</v>
      </c>
      <c r="FK177" s="138">
        <v>0</v>
      </c>
      <c r="FL177" s="147">
        <v>910</v>
      </c>
      <c r="FM177" s="147">
        <v>1700.8368200836821</v>
      </c>
      <c r="FO177" s="181">
        <f t="shared" si="6"/>
        <v>176.6153846153846</v>
      </c>
      <c r="FP177" s="179">
        <f t="shared" si="8"/>
        <v>124.11481701713606</v>
      </c>
      <c r="FR177" s="184"/>
      <c r="FV177" s="184">
        <v>52</v>
      </c>
      <c r="FW177" s="2">
        <f t="shared" si="7"/>
        <v>-52</v>
      </c>
    </row>
    <row r="178" spans="1:179" ht="12.75">
      <c r="A178" s="82">
        <v>562</v>
      </c>
      <c r="B178" s="80" t="s">
        <v>174</v>
      </c>
      <c r="C178" s="191">
        <v>9590</v>
      </c>
      <c r="D178" s="146"/>
      <c r="E178" s="150">
        <v>1.2408552747835306</v>
      </c>
      <c r="F178" s="150">
        <v>34.4</v>
      </c>
      <c r="G178" s="151">
        <v>-1038</v>
      </c>
      <c r="H178" s="152"/>
      <c r="I178" s="152"/>
      <c r="J178" s="152"/>
      <c r="K178" s="150">
        <v>61.7</v>
      </c>
      <c r="L178" s="151">
        <v>653</v>
      </c>
      <c r="M178" s="151">
        <v>37</v>
      </c>
      <c r="N178" s="154">
        <v>7371.526023244063</v>
      </c>
      <c r="O178" s="146">
        <v>21889</v>
      </c>
      <c r="P178" s="139">
        <v>8659</v>
      </c>
      <c r="Q178" s="139">
        <v>54128</v>
      </c>
      <c r="R178" s="139">
        <v>-45469</v>
      </c>
      <c r="S178" s="146">
        <v>27170</v>
      </c>
      <c r="T178" s="139">
        <v>21569</v>
      </c>
      <c r="U178" s="160"/>
      <c r="W178" s="138">
        <v>-204</v>
      </c>
      <c r="X178" s="138">
        <v>216</v>
      </c>
      <c r="Y178" s="139">
        <v>3282</v>
      </c>
      <c r="Z178" s="138">
        <v>2108</v>
      </c>
      <c r="AC178" s="139">
        <v>1174</v>
      </c>
      <c r="AD178" s="139"/>
      <c r="AG178" s="139">
        <v>1174</v>
      </c>
      <c r="AH178" s="139">
        <v>11736</v>
      </c>
      <c r="AI178" s="139">
        <v>2967</v>
      </c>
      <c r="AJ178" s="176"/>
      <c r="AK178" s="139">
        <v>-26</v>
      </c>
      <c r="AL178" s="151">
        <v>-1919</v>
      </c>
      <c r="AM178" s="151">
        <v>-1612</v>
      </c>
      <c r="AN178" s="146">
        <v>27170</v>
      </c>
      <c r="AO178" s="139">
        <v>23754</v>
      </c>
      <c r="AP178" s="139">
        <v>1719</v>
      </c>
      <c r="AQ178" s="139">
        <v>1697</v>
      </c>
      <c r="AR178" s="114">
        <v>20</v>
      </c>
      <c r="AS178" s="152"/>
      <c r="AT178" s="138">
        <v>101</v>
      </c>
      <c r="AU178" s="191">
        <v>9571</v>
      </c>
      <c r="AV178" s="146"/>
      <c r="AW178" s="150">
        <v>-0.5386586928662964</v>
      </c>
      <c r="AX178" s="150">
        <v>44.5</v>
      </c>
      <c r="AY178" s="151">
        <v>-1824</v>
      </c>
      <c r="AZ178" s="152"/>
      <c r="BA178" s="152"/>
      <c r="BB178" s="152"/>
      <c r="BC178" s="150">
        <v>51.5</v>
      </c>
      <c r="BD178" s="151">
        <v>543</v>
      </c>
      <c r="BE178" s="151">
        <v>27</v>
      </c>
      <c r="BF178" s="154">
        <v>7317.208233204472</v>
      </c>
      <c r="BG178" s="146">
        <v>23473</v>
      </c>
      <c r="BH178" s="139">
        <v>8888</v>
      </c>
      <c r="BI178" s="139">
        <v>60909</v>
      </c>
      <c r="BJ178" s="139">
        <v>-52021</v>
      </c>
      <c r="BK178" s="146">
        <v>27532</v>
      </c>
      <c r="BL178" s="146">
        <v>22977</v>
      </c>
      <c r="BM178" s="160"/>
      <c r="BO178" s="138">
        <v>-276</v>
      </c>
      <c r="BP178" s="138">
        <v>165</v>
      </c>
      <c r="BQ178" s="139">
        <v>-1623</v>
      </c>
      <c r="BR178" s="138">
        <v>2214</v>
      </c>
      <c r="BU178" s="139">
        <v>-3837</v>
      </c>
      <c r="BV178" s="139"/>
      <c r="BY178" s="138">
        <v>-3837</v>
      </c>
      <c r="BZ178" s="139">
        <v>7899</v>
      </c>
      <c r="CA178" s="139">
        <v>-2123</v>
      </c>
      <c r="CB178" s="176"/>
      <c r="CC178" s="139">
        <v>-246</v>
      </c>
      <c r="CD178" s="151">
        <v>-1979</v>
      </c>
      <c r="CE178" s="151">
        <v>-7260</v>
      </c>
      <c r="CF178" s="138">
        <v>27532</v>
      </c>
      <c r="CG178" s="139">
        <v>24772</v>
      </c>
      <c r="CH178" s="139">
        <v>1160</v>
      </c>
      <c r="CI178" s="139">
        <v>1600</v>
      </c>
      <c r="CJ178" s="114">
        <v>20</v>
      </c>
      <c r="CK178" s="152"/>
      <c r="CL178" s="138">
        <v>298</v>
      </c>
      <c r="CM178" s="190">
        <v>9630</v>
      </c>
      <c r="CN178" s="146"/>
      <c r="CO178" s="150">
        <v>-0.20148771021992237</v>
      </c>
      <c r="CP178" s="150">
        <v>51.00464180218781</v>
      </c>
      <c r="CQ178" s="151">
        <v>-2419.8338525441327</v>
      </c>
      <c r="CR178" s="152"/>
      <c r="CS178" s="152"/>
      <c r="CT178" s="152"/>
      <c r="CU178" s="150">
        <v>44.88754521783199</v>
      </c>
      <c r="CV178" s="151">
        <v>518.1723779854622</v>
      </c>
      <c r="CW178" s="151">
        <v>24.991767062762424</v>
      </c>
      <c r="CX178" s="154">
        <v>7567.808930425753</v>
      </c>
      <c r="CY178" s="146">
        <v>22879</v>
      </c>
      <c r="CZ178" s="139">
        <v>8150</v>
      </c>
      <c r="DA178" s="139">
        <v>62501</v>
      </c>
      <c r="DB178" s="139">
        <v>-54351</v>
      </c>
      <c r="DC178" s="146">
        <v>29599</v>
      </c>
      <c r="DD178" s="146">
        <v>23889</v>
      </c>
      <c r="DE178" s="160"/>
      <c r="DG178" s="138">
        <v>-340</v>
      </c>
      <c r="DH178" s="138">
        <v>167</v>
      </c>
      <c r="DI178" s="139">
        <v>-1036</v>
      </c>
      <c r="DJ178" s="138">
        <v>2676</v>
      </c>
      <c r="DK178" s="138">
        <v>2177</v>
      </c>
      <c r="DL178" s="138">
        <v>1012</v>
      </c>
      <c r="DM178" s="139">
        <v>-2547</v>
      </c>
      <c r="DN178" s="139"/>
      <c r="DQ178" s="138">
        <v>-2547</v>
      </c>
      <c r="DR178" s="139">
        <v>5351</v>
      </c>
      <c r="DS178" s="139">
        <v>36</v>
      </c>
      <c r="DT178" s="176"/>
      <c r="DU178" s="139">
        <v>602</v>
      </c>
      <c r="DV178" s="151">
        <v>-2679</v>
      </c>
      <c r="DW178" s="138">
        <v>-5215</v>
      </c>
      <c r="DX178" s="138">
        <v>29599</v>
      </c>
      <c r="DY178" s="146">
        <v>26385</v>
      </c>
      <c r="DZ178" s="196">
        <v>1266</v>
      </c>
      <c r="EA178" s="146">
        <v>1948</v>
      </c>
      <c r="EB178" s="114">
        <v>20.5</v>
      </c>
      <c r="EC178" s="152"/>
      <c r="ED178" s="138">
        <v>295</v>
      </c>
      <c r="EE178" s="138">
        <v>25951</v>
      </c>
      <c r="EF178" s="138">
        <v>30360</v>
      </c>
      <c r="EG178" s="138">
        <v>34247</v>
      </c>
      <c r="EH178" s="138"/>
      <c r="EI178" s="138"/>
      <c r="EJ178" s="138"/>
      <c r="EK178" s="3">
        <v>-6144</v>
      </c>
      <c r="EL178" s="138">
        <v>605</v>
      </c>
      <c r="EM178" s="138">
        <v>960</v>
      </c>
      <c r="EN178" s="3">
        <v>-6579</v>
      </c>
      <c r="EO178" s="138">
        <v>789</v>
      </c>
      <c r="EP178" s="138">
        <v>653</v>
      </c>
      <c r="EQ178" s="3">
        <v>-6587</v>
      </c>
      <c r="ER178" s="138">
        <v>191</v>
      </c>
      <c r="ES178" s="138">
        <v>1145</v>
      </c>
      <c r="ET178" s="163"/>
      <c r="EU178" s="163"/>
      <c r="EV178" s="138">
        <v>6000</v>
      </c>
      <c r="EW178" s="138"/>
      <c r="EX178" s="138">
        <v>8000</v>
      </c>
      <c r="EY178" s="138"/>
      <c r="EZ178" s="138">
        <v>12500</v>
      </c>
      <c r="FA178" s="138">
        <v>10671</v>
      </c>
      <c r="FB178" s="138">
        <v>1829</v>
      </c>
      <c r="FC178" s="138">
        <v>1575</v>
      </c>
      <c r="FD178" s="138">
        <v>16520</v>
      </c>
      <c r="FE178" s="138">
        <v>14091</v>
      </c>
      <c r="FF178" s="138">
        <v>2429</v>
      </c>
      <c r="FG178" s="138">
        <v>1689</v>
      </c>
      <c r="FH178" s="138">
        <v>21841</v>
      </c>
      <c r="FI178" s="138">
        <v>18612</v>
      </c>
      <c r="FJ178" s="138">
        <v>3229</v>
      </c>
      <c r="FK178" s="138">
        <v>2286</v>
      </c>
      <c r="FL178" s="147">
        <v>2320</v>
      </c>
      <c r="FM178" s="147">
        <v>2665.552188903981</v>
      </c>
      <c r="FO178" s="181">
        <f t="shared" si="6"/>
        <v>1287.0731707317073</v>
      </c>
      <c r="FP178" s="179">
        <f t="shared" si="8"/>
        <v>133.6524580199073</v>
      </c>
      <c r="FR178" s="184"/>
      <c r="FV178" s="184">
        <v>1919</v>
      </c>
      <c r="FW178" s="2">
        <f t="shared" si="7"/>
        <v>-1919</v>
      </c>
    </row>
    <row r="179" spans="1:179" ht="12.75">
      <c r="A179" s="82">
        <v>563</v>
      </c>
      <c r="B179" s="80" t="s">
        <v>175</v>
      </c>
      <c r="C179" s="191">
        <v>7916</v>
      </c>
      <c r="D179" s="146"/>
      <c r="E179" s="150">
        <v>0.3275535939470366</v>
      </c>
      <c r="F179" s="150">
        <v>53.2</v>
      </c>
      <c r="G179" s="151">
        <v>-1964</v>
      </c>
      <c r="H179" s="152"/>
      <c r="I179" s="152"/>
      <c r="J179" s="152"/>
      <c r="K179" s="150">
        <v>49.9</v>
      </c>
      <c r="L179" s="151">
        <v>1410</v>
      </c>
      <c r="M179" s="151">
        <v>69</v>
      </c>
      <c r="N179" s="154">
        <v>6524.50506917566</v>
      </c>
      <c r="O179" s="146">
        <v>23559</v>
      </c>
      <c r="P179" s="139">
        <v>12101</v>
      </c>
      <c r="Q179" s="139">
        <v>53563</v>
      </c>
      <c r="R179" s="139">
        <v>-41462</v>
      </c>
      <c r="S179" s="146">
        <v>22096</v>
      </c>
      <c r="T179" s="139">
        <v>20520</v>
      </c>
      <c r="U179" s="160"/>
      <c r="W179" s="138">
        <v>-464</v>
      </c>
      <c r="X179" s="138">
        <v>-174</v>
      </c>
      <c r="Y179" s="139">
        <v>516</v>
      </c>
      <c r="Z179" s="138">
        <v>1416</v>
      </c>
      <c r="AC179" s="139">
        <v>-900</v>
      </c>
      <c r="AD179" s="139">
        <v>55</v>
      </c>
      <c r="AG179" s="139">
        <v>-845</v>
      </c>
      <c r="AH179" s="139">
        <v>-164</v>
      </c>
      <c r="AI179" s="139">
        <v>413</v>
      </c>
      <c r="AJ179" s="176"/>
      <c r="AK179" s="138">
        <v>140</v>
      </c>
      <c r="AL179" s="151">
        <v>-2649</v>
      </c>
      <c r="AM179" s="151">
        <v>-1090</v>
      </c>
      <c r="AN179" s="146">
        <v>22096</v>
      </c>
      <c r="AO179" s="139">
        <v>19391</v>
      </c>
      <c r="AP179" s="139">
        <v>1464</v>
      </c>
      <c r="AQ179" s="139">
        <v>1241</v>
      </c>
      <c r="AR179" s="114">
        <v>21</v>
      </c>
      <c r="AS179" s="152"/>
      <c r="AT179" s="138">
        <v>258</v>
      </c>
      <c r="AU179" s="191">
        <v>7847</v>
      </c>
      <c r="AV179" s="146"/>
      <c r="AW179" s="150">
        <v>0.731606827545615</v>
      </c>
      <c r="AX179" s="150">
        <v>59</v>
      </c>
      <c r="AY179" s="151">
        <v>-1882</v>
      </c>
      <c r="AZ179" s="152"/>
      <c r="BA179" s="152"/>
      <c r="BB179" s="152"/>
      <c r="BC179" s="150">
        <v>49.5</v>
      </c>
      <c r="BD179" s="151">
        <v>1618</v>
      </c>
      <c r="BE179" s="151">
        <v>84</v>
      </c>
      <c r="BF179" s="154">
        <v>7011.5967885816235</v>
      </c>
      <c r="BG179" s="146">
        <v>23551</v>
      </c>
      <c r="BH179" s="139">
        <v>7165</v>
      </c>
      <c r="BI179" s="139">
        <v>49602</v>
      </c>
      <c r="BJ179" s="139">
        <v>-42437</v>
      </c>
      <c r="BK179" s="146">
        <v>22764</v>
      </c>
      <c r="BL179" s="146">
        <v>20895</v>
      </c>
      <c r="BM179" s="160"/>
      <c r="BO179" s="138">
        <v>-422</v>
      </c>
      <c r="BP179" s="138">
        <v>1252</v>
      </c>
      <c r="BQ179" s="139">
        <v>2052</v>
      </c>
      <c r="BR179" s="138">
        <v>1618</v>
      </c>
      <c r="BU179" s="139">
        <v>434</v>
      </c>
      <c r="BV179" s="139">
        <v>55</v>
      </c>
      <c r="BY179" s="138">
        <v>489</v>
      </c>
      <c r="BZ179" s="139">
        <v>325</v>
      </c>
      <c r="CA179" s="139">
        <v>2026</v>
      </c>
      <c r="CB179" s="176"/>
      <c r="CC179" s="138">
        <v>626</v>
      </c>
      <c r="CD179" s="151">
        <v>-2964</v>
      </c>
      <c r="CE179" s="151">
        <v>734</v>
      </c>
      <c r="CF179" s="138">
        <v>22764</v>
      </c>
      <c r="CG179" s="139">
        <v>20560</v>
      </c>
      <c r="CH179" s="139">
        <v>838</v>
      </c>
      <c r="CI179" s="139">
        <v>1366</v>
      </c>
      <c r="CJ179" s="114">
        <v>21</v>
      </c>
      <c r="CK179" s="152"/>
      <c r="CL179" s="138">
        <v>81</v>
      </c>
      <c r="CM179" s="190">
        <v>7772</v>
      </c>
      <c r="CN179" s="146"/>
      <c r="CO179" s="150">
        <v>0.7521856086079355</v>
      </c>
      <c r="CP179" s="150">
        <v>60.13487401453084</v>
      </c>
      <c r="CQ179" s="151">
        <v>-1963.0725681935153</v>
      </c>
      <c r="CR179" s="152"/>
      <c r="CS179" s="152"/>
      <c r="CT179" s="152"/>
      <c r="CU179" s="150">
        <v>48.77859133026631</v>
      </c>
      <c r="CV179" s="151">
        <v>1772.3880597014925</v>
      </c>
      <c r="CW179" s="151">
        <v>89.37491112059158</v>
      </c>
      <c r="CX179" s="154">
        <v>7238.2913021101385</v>
      </c>
      <c r="CY179" s="146">
        <v>23708</v>
      </c>
      <c r="CZ179" s="139">
        <v>6763</v>
      </c>
      <c r="DA179" s="139">
        <v>50472</v>
      </c>
      <c r="DB179" s="139">
        <v>-43709</v>
      </c>
      <c r="DC179" s="146">
        <v>23454</v>
      </c>
      <c r="DD179" s="146">
        <v>21535</v>
      </c>
      <c r="DE179" s="160"/>
      <c r="DG179" s="138">
        <v>-286</v>
      </c>
      <c r="DH179" s="138">
        <v>951</v>
      </c>
      <c r="DI179" s="139">
        <v>1945</v>
      </c>
      <c r="DJ179" s="138">
        <v>1712</v>
      </c>
      <c r="DM179" s="139">
        <v>233</v>
      </c>
      <c r="DN179" s="139">
        <v>55</v>
      </c>
      <c r="DQ179" s="138">
        <v>288</v>
      </c>
      <c r="DR179" s="139">
        <v>613</v>
      </c>
      <c r="DS179" s="139">
        <v>1905</v>
      </c>
      <c r="DT179" s="176"/>
      <c r="DU179" s="138">
        <v>421</v>
      </c>
      <c r="DV179" s="151">
        <v>-2682</v>
      </c>
      <c r="DW179" s="138">
        <v>-708</v>
      </c>
      <c r="DX179" s="138">
        <v>23454</v>
      </c>
      <c r="DY179" s="146">
        <v>21093</v>
      </c>
      <c r="DZ179" s="196">
        <v>952</v>
      </c>
      <c r="EA179" s="146">
        <v>1409</v>
      </c>
      <c r="EB179" s="114">
        <v>21.5</v>
      </c>
      <c r="EC179" s="152"/>
      <c r="ED179" s="138">
        <v>172</v>
      </c>
      <c r="EE179" s="138">
        <v>25204</v>
      </c>
      <c r="EF179" s="138">
        <v>20606</v>
      </c>
      <c r="EG179" s="138">
        <v>21137</v>
      </c>
      <c r="EH179" s="138"/>
      <c r="EI179" s="138"/>
      <c r="EJ179" s="138"/>
      <c r="EK179" s="3">
        <v>-1834</v>
      </c>
      <c r="EL179" s="138">
        <v>159</v>
      </c>
      <c r="EM179" s="138">
        <v>172</v>
      </c>
      <c r="EN179" s="3">
        <v>-1625</v>
      </c>
      <c r="EO179" s="138">
        <v>198</v>
      </c>
      <c r="EP179" s="138">
        <v>135</v>
      </c>
      <c r="EQ179" s="3">
        <v>-2735</v>
      </c>
      <c r="ER179" s="138">
        <v>83</v>
      </c>
      <c r="ES179" s="138">
        <v>39</v>
      </c>
      <c r="ET179" s="163">
        <v>2000</v>
      </c>
      <c r="EU179" s="163">
        <v>1050</v>
      </c>
      <c r="EV179" s="138">
        <v>2000</v>
      </c>
      <c r="EW179" s="138">
        <v>1250</v>
      </c>
      <c r="EX179" s="138">
        <v>1300</v>
      </c>
      <c r="EY179" s="138">
        <v>3600</v>
      </c>
      <c r="EZ179" s="138">
        <v>22412</v>
      </c>
      <c r="FA179" s="138">
        <v>9387</v>
      </c>
      <c r="FB179" s="138">
        <v>13025</v>
      </c>
      <c r="FC179" s="138">
        <v>320</v>
      </c>
      <c r="FD179" s="138">
        <v>22699</v>
      </c>
      <c r="FE179" s="138">
        <v>8516</v>
      </c>
      <c r="FF179" s="138">
        <v>14183</v>
      </c>
      <c r="FG179" s="138">
        <v>280</v>
      </c>
      <c r="FH179" s="138">
        <v>24916</v>
      </c>
      <c r="FI179" s="138">
        <v>7060</v>
      </c>
      <c r="FJ179" s="138">
        <v>17856</v>
      </c>
      <c r="FK179" s="138">
        <v>240</v>
      </c>
      <c r="FL179" s="147">
        <v>4278</v>
      </c>
      <c r="FM179" s="147">
        <v>4467.822097616923</v>
      </c>
      <c r="FO179" s="181">
        <f t="shared" si="6"/>
        <v>981.0697674418604</v>
      </c>
      <c r="FP179" s="179">
        <f t="shared" si="8"/>
        <v>126.23131336102166</v>
      </c>
      <c r="FR179" s="184"/>
      <c r="FV179" s="184">
        <v>2649</v>
      </c>
      <c r="FW179" s="2">
        <f t="shared" si="7"/>
        <v>-2649</v>
      </c>
    </row>
    <row r="180" spans="1:179" ht="12.75">
      <c r="A180" s="82">
        <v>564</v>
      </c>
      <c r="B180" s="80" t="s">
        <v>176</v>
      </c>
      <c r="C180" s="191">
        <v>143909</v>
      </c>
      <c r="D180" s="146"/>
      <c r="E180" s="150">
        <v>5.249181590602735</v>
      </c>
      <c r="F180" s="150">
        <v>45.6</v>
      </c>
      <c r="G180" s="151">
        <v>-831</v>
      </c>
      <c r="H180" s="152"/>
      <c r="I180" s="152"/>
      <c r="J180" s="152"/>
      <c r="K180" s="150">
        <v>73.3</v>
      </c>
      <c r="L180" s="151">
        <v>1249</v>
      </c>
      <c r="M180" s="151">
        <v>61</v>
      </c>
      <c r="N180" s="154">
        <v>5396.684065090574</v>
      </c>
      <c r="O180" s="146">
        <v>400620</v>
      </c>
      <c r="P180" s="139">
        <v>383119</v>
      </c>
      <c r="Q180" s="139">
        <v>947437</v>
      </c>
      <c r="R180" s="139">
        <v>-564318</v>
      </c>
      <c r="S180" s="146">
        <v>503079</v>
      </c>
      <c r="T180" s="139">
        <v>135251</v>
      </c>
      <c r="U180" s="160"/>
      <c r="W180" s="138">
        <v>2517</v>
      </c>
      <c r="X180" s="138">
        <v>4877</v>
      </c>
      <c r="Y180" s="139">
        <v>81406</v>
      </c>
      <c r="Z180" s="138">
        <v>66052</v>
      </c>
      <c r="AC180" s="139">
        <v>15354</v>
      </c>
      <c r="AD180" s="138">
        <v>1369</v>
      </c>
      <c r="AE180" s="138">
        <v>-1540</v>
      </c>
      <c r="AF180" s="139">
        <v>-177</v>
      </c>
      <c r="AG180" s="139">
        <v>15006</v>
      </c>
      <c r="AH180" s="139">
        <v>569581</v>
      </c>
      <c r="AI180" s="139">
        <v>76588</v>
      </c>
      <c r="AJ180" s="176"/>
      <c r="AK180" s="138">
        <v>-2458</v>
      </c>
      <c r="AL180" s="151">
        <v>-15208</v>
      </c>
      <c r="AM180" s="151">
        <v>-32666</v>
      </c>
      <c r="AN180" s="146">
        <v>503079</v>
      </c>
      <c r="AO180" s="139">
        <v>434933</v>
      </c>
      <c r="AP180" s="139">
        <v>44991</v>
      </c>
      <c r="AQ180" s="139">
        <v>23155</v>
      </c>
      <c r="AR180" s="114">
        <v>19</v>
      </c>
      <c r="AS180" s="152"/>
      <c r="AT180" s="138">
        <v>25</v>
      </c>
      <c r="AU180" s="191">
        <v>146473</v>
      </c>
      <c r="AV180" s="146"/>
      <c r="AW180" s="150">
        <v>1.9874434957307885</v>
      </c>
      <c r="AX180" s="150">
        <v>42.7</v>
      </c>
      <c r="AY180" s="151">
        <v>-1519</v>
      </c>
      <c r="AZ180" s="152"/>
      <c r="BA180" s="152"/>
      <c r="BB180" s="152"/>
      <c r="BC180" s="150">
        <v>70.9</v>
      </c>
      <c r="BD180" s="151">
        <v>821</v>
      </c>
      <c r="BE180" s="151">
        <v>33</v>
      </c>
      <c r="BF180" s="154">
        <v>9121.175916380495</v>
      </c>
      <c r="BG180" s="146">
        <v>493702</v>
      </c>
      <c r="BH180" s="139">
        <v>557392</v>
      </c>
      <c r="BI180" s="139">
        <v>1177174</v>
      </c>
      <c r="BJ180" s="139">
        <v>-619782</v>
      </c>
      <c r="BK180" s="146">
        <v>500411</v>
      </c>
      <c r="BL180" s="146">
        <v>147565</v>
      </c>
      <c r="BM180" s="160"/>
      <c r="BO180" s="138">
        <v>1752</v>
      </c>
      <c r="BP180" s="138">
        <v>9195</v>
      </c>
      <c r="BQ180" s="139">
        <v>39141</v>
      </c>
      <c r="BR180" s="138">
        <v>70355</v>
      </c>
      <c r="BU180" s="139">
        <v>-31214</v>
      </c>
      <c r="BV180" s="138">
        <v>681</v>
      </c>
      <c r="BW180" s="138">
        <v>6144</v>
      </c>
      <c r="BX180" s="139">
        <v>-179</v>
      </c>
      <c r="BY180" s="138">
        <v>-24568</v>
      </c>
      <c r="BZ180" s="139">
        <v>546616</v>
      </c>
      <c r="CA180" s="139">
        <v>28093</v>
      </c>
      <c r="CB180" s="176"/>
      <c r="CC180" s="138">
        <v>-6409</v>
      </c>
      <c r="CD180" s="151">
        <v>-17515</v>
      </c>
      <c r="CE180" s="151">
        <v>-108562</v>
      </c>
      <c r="CF180" s="138">
        <v>500411</v>
      </c>
      <c r="CG180" s="139">
        <v>451457</v>
      </c>
      <c r="CH180" s="139">
        <v>24771</v>
      </c>
      <c r="CI180" s="139">
        <v>24183</v>
      </c>
      <c r="CJ180" s="114">
        <v>19</v>
      </c>
      <c r="CK180" s="152"/>
      <c r="CL180" s="138">
        <v>74</v>
      </c>
      <c r="CM180" s="190">
        <v>193798</v>
      </c>
      <c r="CN180" s="146"/>
      <c r="CO180" s="150">
        <v>2.1612404598589507</v>
      </c>
      <c r="CP180" s="150">
        <v>58.14465520929901</v>
      </c>
      <c r="CQ180" s="151">
        <v>-2569.0409601750275</v>
      </c>
      <c r="CR180" s="152"/>
      <c r="CS180" s="152"/>
      <c r="CT180" s="152"/>
      <c r="CU180" s="150">
        <v>60.025154498002</v>
      </c>
      <c r="CV180" s="151">
        <v>650.1924684465267</v>
      </c>
      <c r="CW180" s="151">
        <v>29.778353158724855</v>
      </c>
      <c r="CX180" s="154">
        <v>7969.555929369756</v>
      </c>
      <c r="CY180" s="146">
        <v>539256</v>
      </c>
      <c r="CZ180" s="139">
        <v>446235</v>
      </c>
      <c r="DA180" s="139">
        <v>1292495</v>
      </c>
      <c r="DB180" s="139">
        <v>-846260</v>
      </c>
      <c r="DC180" s="146">
        <v>692700</v>
      </c>
      <c r="DD180" s="146">
        <v>225083</v>
      </c>
      <c r="DE180" s="160"/>
      <c r="DG180" s="138">
        <v>-3687</v>
      </c>
      <c r="DH180" s="138">
        <v>12522</v>
      </c>
      <c r="DI180" s="139">
        <v>80358</v>
      </c>
      <c r="DJ180" s="138">
        <v>128507</v>
      </c>
      <c r="DM180" s="139">
        <v>-48149</v>
      </c>
      <c r="DN180" s="138">
        <v>7350</v>
      </c>
      <c r="DO180" s="138">
        <v>917</v>
      </c>
      <c r="DP180" s="139">
        <v>-3882</v>
      </c>
      <c r="DQ180" s="138">
        <v>-43764</v>
      </c>
      <c r="DR180" s="139">
        <v>511480</v>
      </c>
      <c r="DS180" s="139">
        <v>66904</v>
      </c>
      <c r="DT180" s="176"/>
      <c r="DU180" s="138">
        <v>10955</v>
      </c>
      <c r="DV180" s="151">
        <v>-32279</v>
      </c>
      <c r="DW180" s="138">
        <v>-120890</v>
      </c>
      <c r="DX180" s="138">
        <v>692700</v>
      </c>
      <c r="DY180" s="146">
        <v>624399</v>
      </c>
      <c r="DZ180" s="196">
        <v>27798</v>
      </c>
      <c r="EA180" s="146">
        <v>40503</v>
      </c>
      <c r="EB180" s="114">
        <v>19.25</v>
      </c>
      <c r="EC180" s="152"/>
      <c r="ED180" s="138">
        <v>83</v>
      </c>
      <c r="EE180" s="138">
        <v>301674</v>
      </c>
      <c r="EF180" s="138">
        <v>415791</v>
      </c>
      <c r="EG180" s="138">
        <v>455354</v>
      </c>
      <c r="EH180" s="138"/>
      <c r="EI180" s="138"/>
      <c r="EJ180" s="138"/>
      <c r="EK180" s="3">
        <v>-120649</v>
      </c>
      <c r="EL180" s="138">
        <v>2932</v>
      </c>
      <c r="EM180" s="138">
        <v>8463</v>
      </c>
      <c r="EN180" s="3">
        <v>-155319</v>
      </c>
      <c r="EO180" s="138">
        <v>3930</v>
      </c>
      <c r="EP180" s="138">
        <v>14734</v>
      </c>
      <c r="EQ180" s="3">
        <v>-225558</v>
      </c>
      <c r="ER180" s="138">
        <v>6638</v>
      </c>
      <c r="ES180" s="138">
        <v>31126</v>
      </c>
      <c r="ET180" s="163">
        <v>30960</v>
      </c>
      <c r="EU180" s="163"/>
      <c r="EV180" s="138">
        <v>52200</v>
      </c>
      <c r="EW180" s="138">
        <v>29203</v>
      </c>
      <c r="EX180" s="138">
        <v>125000</v>
      </c>
      <c r="EY180" s="138">
        <v>8797</v>
      </c>
      <c r="EZ180" s="138">
        <v>220048</v>
      </c>
      <c r="FA180" s="138">
        <v>202526</v>
      </c>
      <c r="FB180" s="138">
        <v>17522</v>
      </c>
      <c r="FC180" s="138">
        <v>8286</v>
      </c>
      <c r="FD180" s="138">
        <v>283936</v>
      </c>
      <c r="FE180" s="138">
        <v>236440</v>
      </c>
      <c r="FF180" s="138">
        <v>47496</v>
      </c>
      <c r="FG180" s="138">
        <v>7682</v>
      </c>
      <c r="FH180" s="138">
        <v>540493</v>
      </c>
      <c r="FI180" s="138">
        <v>377778</v>
      </c>
      <c r="FJ180" s="138">
        <v>162715</v>
      </c>
      <c r="FK180" s="138">
        <v>7661</v>
      </c>
      <c r="FL180" s="147">
        <v>3520</v>
      </c>
      <c r="FM180" s="147">
        <v>3878.9538003591106</v>
      </c>
      <c r="FO180" s="181">
        <f t="shared" si="6"/>
        <v>32436.31168831169</v>
      </c>
      <c r="FP180" s="179">
        <f t="shared" si="8"/>
        <v>167.37175661416364</v>
      </c>
      <c r="FR180" s="184"/>
      <c r="FV180" s="184">
        <v>15208</v>
      </c>
      <c r="FW180" s="2">
        <f t="shared" si="7"/>
        <v>-15208</v>
      </c>
    </row>
    <row r="181" spans="1:179" ht="12.75">
      <c r="A181" s="82">
        <v>309</v>
      </c>
      <c r="B181" s="80" t="s">
        <v>113</v>
      </c>
      <c r="C181" s="191">
        <v>7377</v>
      </c>
      <c r="D181" s="146"/>
      <c r="E181" s="150">
        <v>0.6511811023622047</v>
      </c>
      <c r="F181" s="150">
        <v>44.2</v>
      </c>
      <c r="G181" s="151">
        <v>-2088</v>
      </c>
      <c r="H181" s="152"/>
      <c r="I181" s="152"/>
      <c r="J181" s="152"/>
      <c r="K181" s="150">
        <v>51.3</v>
      </c>
      <c r="L181" s="151">
        <v>255</v>
      </c>
      <c r="M181" s="151">
        <v>14</v>
      </c>
      <c r="N181" s="154">
        <v>6910.952804986643</v>
      </c>
      <c r="O181" s="146">
        <v>12233</v>
      </c>
      <c r="P181" s="139">
        <v>6445</v>
      </c>
      <c r="Q181" s="139">
        <v>43201</v>
      </c>
      <c r="R181" s="139">
        <v>-36756</v>
      </c>
      <c r="S181" s="146">
        <v>20468</v>
      </c>
      <c r="T181" s="139">
        <v>17211</v>
      </c>
      <c r="U181" s="160"/>
      <c r="W181" s="138">
        <v>-326</v>
      </c>
      <c r="X181" s="138">
        <v>379</v>
      </c>
      <c r="Y181" s="139">
        <v>976</v>
      </c>
      <c r="Z181" s="138">
        <v>1457</v>
      </c>
      <c r="AC181" s="139">
        <v>-481</v>
      </c>
      <c r="AD181" s="139"/>
      <c r="AE181" s="139"/>
      <c r="AF181" s="139"/>
      <c r="AG181" s="139">
        <v>-481</v>
      </c>
      <c r="AH181" s="139">
        <v>-2207</v>
      </c>
      <c r="AI181" s="139">
        <v>892</v>
      </c>
      <c r="AJ181" s="176"/>
      <c r="AK181" s="139">
        <v>272</v>
      </c>
      <c r="AL181" s="151">
        <v>-1862</v>
      </c>
      <c r="AM181" s="151">
        <v>-120</v>
      </c>
      <c r="AN181" s="146">
        <v>20468</v>
      </c>
      <c r="AO181" s="139">
        <v>17547</v>
      </c>
      <c r="AP181" s="139">
        <v>1736</v>
      </c>
      <c r="AQ181" s="139">
        <v>1185</v>
      </c>
      <c r="AR181" s="114">
        <v>20.5</v>
      </c>
      <c r="AS181" s="152"/>
      <c r="AT181" s="138">
        <v>244</v>
      </c>
      <c r="AU181" s="191">
        <v>7343</v>
      </c>
      <c r="AV181" s="146"/>
      <c r="AW181" s="150">
        <v>-0.20556660039761432</v>
      </c>
      <c r="AX181" s="150">
        <v>46.2</v>
      </c>
      <c r="AY181" s="151">
        <v>-2447</v>
      </c>
      <c r="AZ181" s="152"/>
      <c r="BA181" s="152"/>
      <c r="BB181" s="152"/>
      <c r="BC181" s="150">
        <v>46.9</v>
      </c>
      <c r="BD181" s="151">
        <v>183</v>
      </c>
      <c r="BE181" s="151">
        <v>10</v>
      </c>
      <c r="BF181" s="154">
        <v>6877.43429116165</v>
      </c>
      <c r="BG181" s="146">
        <v>13044</v>
      </c>
      <c r="BH181" s="139">
        <v>6526</v>
      </c>
      <c r="BI181" s="139">
        <v>46352</v>
      </c>
      <c r="BJ181" s="139">
        <v>-39826</v>
      </c>
      <c r="BK181" s="146">
        <v>20990</v>
      </c>
      <c r="BL181" s="146">
        <v>17840</v>
      </c>
      <c r="BM181" s="160"/>
      <c r="BO181" s="138">
        <v>-330</v>
      </c>
      <c r="BP181" s="138">
        <v>437</v>
      </c>
      <c r="BQ181" s="139">
        <v>-889</v>
      </c>
      <c r="BR181" s="138">
        <v>1476</v>
      </c>
      <c r="BU181" s="139">
        <v>-2365</v>
      </c>
      <c r="BV181" s="139"/>
      <c r="BW181" s="139"/>
      <c r="BX181" s="139"/>
      <c r="BY181" s="138">
        <v>-2365</v>
      </c>
      <c r="BZ181" s="139">
        <v>-4672</v>
      </c>
      <c r="CA181" s="139">
        <v>-1271</v>
      </c>
      <c r="CB181" s="176"/>
      <c r="CC181" s="139">
        <v>606</v>
      </c>
      <c r="CD181" s="151">
        <v>-2143</v>
      </c>
      <c r="CE181" s="151">
        <v>-2463</v>
      </c>
      <c r="CF181" s="138">
        <v>20990</v>
      </c>
      <c r="CG181" s="139">
        <v>18659</v>
      </c>
      <c r="CH181" s="139">
        <v>931</v>
      </c>
      <c r="CI181" s="139">
        <v>1400</v>
      </c>
      <c r="CJ181" s="114">
        <v>21.25</v>
      </c>
      <c r="CK181" s="152"/>
      <c r="CL181" s="138">
        <v>286</v>
      </c>
      <c r="CM181" s="190">
        <v>7262</v>
      </c>
      <c r="CN181" s="146"/>
      <c r="CO181" s="150">
        <v>1.1767113095238095</v>
      </c>
      <c r="CP181" s="150">
        <v>42.532797205637465</v>
      </c>
      <c r="CQ181" s="151">
        <v>-2335.444781052052</v>
      </c>
      <c r="CR181" s="152"/>
      <c r="CS181" s="152"/>
      <c r="CT181" s="152"/>
      <c r="CU181" s="150">
        <v>47.802736769826865</v>
      </c>
      <c r="CV181" s="151">
        <v>214.40374552464885</v>
      </c>
      <c r="CW181" s="151">
        <v>10.824857142857143</v>
      </c>
      <c r="CX181" s="154">
        <v>7229.413384742495</v>
      </c>
      <c r="CY181" s="146">
        <v>13024</v>
      </c>
      <c r="CZ181" s="139">
        <v>6875</v>
      </c>
      <c r="DA181" s="139">
        <v>46735</v>
      </c>
      <c r="DB181" s="139">
        <v>-39860</v>
      </c>
      <c r="DC181" s="146">
        <v>22294</v>
      </c>
      <c r="DD181" s="146">
        <v>20073</v>
      </c>
      <c r="DE181" s="160"/>
      <c r="DG181" s="138">
        <v>-232</v>
      </c>
      <c r="DH181" s="138">
        <v>623</v>
      </c>
      <c r="DI181" s="139">
        <v>2898</v>
      </c>
      <c r="DJ181" s="138">
        <v>2138</v>
      </c>
      <c r="DM181" s="139">
        <v>760</v>
      </c>
      <c r="DN181" s="139"/>
      <c r="DO181" s="139"/>
      <c r="DP181" s="139">
        <v>-100</v>
      </c>
      <c r="DQ181" s="138">
        <v>660</v>
      </c>
      <c r="DR181" s="139">
        <v>-4012</v>
      </c>
      <c r="DS181" s="139">
        <v>2889</v>
      </c>
      <c r="DT181" s="176"/>
      <c r="DU181" s="139">
        <v>-808</v>
      </c>
      <c r="DV181" s="151">
        <v>-2422</v>
      </c>
      <c r="DW181" s="138">
        <v>885</v>
      </c>
      <c r="DX181" s="138">
        <v>22294</v>
      </c>
      <c r="DY181" s="146">
        <v>19765</v>
      </c>
      <c r="DZ181" s="196">
        <v>1104</v>
      </c>
      <c r="EA181" s="146">
        <v>1425</v>
      </c>
      <c r="EB181" s="114">
        <v>21.25</v>
      </c>
      <c r="EC181" s="152"/>
      <c r="ED181" s="138">
        <v>88</v>
      </c>
      <c r="EE181" s="138">
        <v>28141</v>
      </c>
      <c r="EF181" s="138">
        <v>30082</v>
      </c>
      <c r="EG181" s="138">
        <v>30515</v>
      </c>
      <c r="EH181" s="138"/>
      <c r="EI181" s="138"/>
      <c r="EJ181" s="138">
        <v>960</v>
      </c>
      <c r="EK181" s="3">
        <v>-1864</v>
      </c>
      <c r="EL181" s="138">
        <v>549</v>
      </c>
      <c r="EM181" s="138">
        <v>303</v>
      </c>
      <c r="EN181" s="3">
        <v>-1610</v>
      </c>
      <c r="EO181" s="138">
        <v>344</v>
      </c>
      <c r="EP181" s="138">
        <v>74</v>
      </c>
      <c r="EQ181" s="3">
        <v>-3066</v>
      </c>
      <c r="ER181" s="138">
        <v>900</v>
      </c>
      <c r="ES181" s="138">
        <v>162</v>
      </c>
      <c r="ET181" s="163">
        <v>2500</v>
      </c>
      <c r="EU181" s="163"/>
      <c r="EV181" s="138">
        <v>3000</v>
      </c>
      <c r="EW181" s="138"/>
      <c r="EX181" s="138">
        <v>2000</v>
      </c>
      <c r="EY181" s="138">
        <v>120</v>
      </c>
      <c r="EZ181" s="138">
        <v>15099</v>
      </c>
      <c r="FA181" s="138">
        <v>12956</v>
      </c>
      <c r="FB181" s="138">
        <v>2143</v>
      </c>
      <c r="FC181" s="138">
        <v>3382</v>
      </c>
      <c r="FD181" s="138">
        <v>15957</v>
      </c>
      <c r="FE181" s="138">
        <v>13535</v>
      </c>
      <c r="FF181" s="138">
        <v>2422</v>
      </c>
      <c r="FG181" s="138">
        <v>3359</v>
      </c>
      <c r="FH181" s="138">
        <v>15655</v>
      </c>
      <c r="FI181" s="138">
        <v>13109</v>
      </c>
      <c r="FJ181" s="138">
        <v>2546</v>
      </c>
      <c r="FK181" s="138">
        <v>3278</v>
      </c>
      <c r="FL181" s="147">
        <v>6459</v>
      </c>
      <c r="FM181" s="147">
        <v>6285.986653956149</v>
      </c>
      <c r="FO181" s="181">
        <f t="shared" si="6"/>
        <v>930.1176470588235</v>
      </c>
      <c r="FP181" s="179">
        <f t="shared" si="8"/>
        <v>128.0800946101382</v>
      </c>
      <c r="FR181" s="184"/>
      <c r="FV181" s="184">
        <v>1862</v>
      </c>
      <c r="FW181" s="2">
        <f t="shared" si="7"/>
        <v>-1862</v>
      </c>
    </row>
    <row r="182" spans="1:179" ht="12.75">
      <c r="A182" s="82">
        <v>576</v>
      </c>
      <c r="B182" s="80" t="s">
        <v>177</v>
      </c>
      <c r="C182" s="191">
        <v>3369</v>
      </c>
      <c r="D182" s="146"/>
      <c r="E182" s="150">
        <v>0.8527454242928453</v>
      </c>
      <c r="F182" s="150">
        <v>55.9</v>
      </c>
      <c r="G182" s="151">
        <v>-1111</v>
      </c>
      <c r="H182" s="152"/>
      <c r="I182" s="152"/>
      <c r="J182" s="152"/>
      <c r="K182" s="150">
        <v>63.4</v>
      </c>
      <c r="L182" s="151">
        <v>2063</v>
      </c>
      <c r="M182" s="151">
        <v>108</v>
      </c>
      <c r="N182" s="154">
        <v>6266.832203227963</v>
      </c>
      <c r="O182" s="146">
        <v>4721</v>
      </c>
      <c r="P182" s="139">
        <v>2944</v>
      </c>
      <c r="Q182" s="139">
        <v>18987</v>
      </c>
      <c r="R182" s="139">
        <v>-16043</v>
      </c>
      <c r="S182" s="146">
        <v>9219</v>
      </c>
      <c r="T182" s="139">
        <v>8882</v>
      </c>
      <c r="U182" s="160"/>
      <c r="W182" s="138">
        <v>-196</v>
      </c>
      <c r="X182" s="138">
        <v>-422</v>
      </c>
      <c r="Y182" s="139">
        <v>1440</v>
      </c>
      <c r="Z182" s="138">
        <v>1294</v>
      </c>
      <c r="AC182" s="139">
        <v>146</v>
      </c>
      <c r="AD182" s="138">
        <v>46</v>
      </c>
      <c r="AF182" s="138">
        <v>18</v>
      </c>
      <c r="AG182" s="139">
        <v>210</v>
      </c>
      <c r="AH182" s="139">
        <v>2093</v>
      </c>
      <c r="AI182" s="139">
        <v>1311</v>
      </c>
      <c r="AJ182" s="176"/>
      <c r="AK182" s="139">
        <v>299</v>
      </c>
      <c r="AL182" s="151">
        <v>-1794</v>
      </c>
      <c r="AM182" s="151">
        <v>346</v>
      </c>
      <c r="AN182" s="146">
        <v>9219</v>
      </c>
      <c r="AO182" s="139">
        <v>7246</v>
      </c>
      <c r="AP182" s="139">
        <v>849</v>
      </c>
      <c r="AQ182" s="139">
        <v>1124</v>
      </c>
      <c r="AR182" s="114">
        <v>19.75</v>
      </c>
      <c r="AS182" s="152"/>
      <c r="AT182" s="138">
        <v>66</v>
      </c>
      <c r="AU182" s="191">
        <v>3333</v>
      </c>
      <c r="AV182" s="146"/>
      <c r="AW182" s="150">
        <v>0.80168986083499</v>
      </c>
      <c r="AX182" s="150">
        <v>55.8</v>
      </c>
      <c r="AY182" s="151">
        <v>-1046</v>
      </c>
      <c r="AZ182" s="152"/>
      <c r="BA182" s="152"/>
      <c r="BB182" s="152"/>
      <c r="BC182" s="150">
        <v>63.2</v>
      </c>
      <c r="BD182" s="151">
        <v>2197</v>
      </c>
      <c r="BE182" s="151">
        <v>114</v>
      </c>
      <c r="BF182" s="154">
        <v>7030.00300030003</v>
      </c>
      <c r="BG182" s="146">
        <v>4941</v>
      </c>
      <c r="BH182" s="139">
        <v>2921</v>
      </c>
      <c r="BI182" s="139">
        <v>20025</v>
      </c>
      <c r="BJ182" s="139">
        <v>-17104</v>
      </c>
      <c r="BK182" s="146">
        <v>9004</v>
      </c>
      <c r="BL182" s="146">
        <v>9452</v>
      </c>
      <c r="BM182" s="160"/>
      <c r="BO182" s="138">
        <v>-152</v>
      </c>
      <c r="BP182" s="138">
        <v>245</v>
      </c>
      <c r="BQ182" s="139">
        <v>1445</v>
      </c>
      <c r="BR182" s="138">
        <v>1313</v>
      </c>
      <c r="BU182" s="139">
        <v>132</v>
      </c>
      <c r="BV182" s="138">
        <v>-146</v>
      </c>
      <c r="BW182" s="138">
        <v>-100</v>
      </c>
      <c r="BX182" s="138">
        <v>196</v>
      </c>
      <c r="BY182" s="138">
        <v>82</v>
      </c>
      <c r="BZ182" s="139">
        <v>2176</v>
      </c>
      <c r="CA182" s="139">
        <v>1407</v>
      </c>
      <c r="CB182" s="176"/>
      <c r="CC182" s="139">
        <v>-47</v>
      </c>
      <c r="CD182" s="151">
        <v>-1844</v>
      </c>
      <c r="CE182" s="151">
        <v>320</v>
      </c>
      <c r="CF182" s="138">
        <v>9004</v>
      </c>
      <c r="CG182" s="139">
        <v>7423</v>
      </c>
      <c r="CH182" s="139">
        <v>723</v>
      </c>
      <c r="CI182" s="139">
        <v>858</v>
      </c>
      <c r="CJ182" s="114">
        <v>19.75</v>
      </c>
      <c r="CK182" s="152"/>
      <c r="CL182" s="138">
        <v>31</v>
      </c>
      <c r="CM182" s="190">
        <v>3279</v>
      </c>
      <c r="CN182" s="146"/>
      <c r="CO182" s="150">
        <v>0.7184223664503245</v>
      </c>
      <c r="CP182" s="150">
        <v>58.57744333960405</v>
      </c>
      <c r="CQ182" s="151">
        <v>-1403.476669716377</v>
      </c>
      <c r="CR182" s="152"/>
      <c r="CS182" s="152"/>
      <c r="CT182" s="152"/>
      <c r="CU182" s="150">
        <v>61.01564351742119</v>
      </c>
      <c r="CV182" s="151">
        <v>2193.3516315949983</v>
      </c>
      <c r="CW182" s="151">
        <v>100.7437540775991</v>
      </c>
      <c r="CX182" s="154">
        <v>7946.6300701433365</v>
      </c>
      <c r="CY182" s="146">
        <v>5039</v>
      </c>
      <c r="CZ182" s="139">
        <v>3054</v>
      </c>
      <c r="DA182" s="139">
        <v>21412</v>
      </c>
      <c r="DB182" s="139">
        <v>-18358</v>
      </c>
      <c r="DC182" s="146">
        <v>9569</v>
      </c>
      <c r="DD182" s="146">
        <v>9707</v>
      </c>
      <c r="DE182" s="160"/>
      <c r="DG182" s="138">
        <v>-144</v>
      </c>
      <c r="DH182" s="138">
        <v>500</v>
      </c>
      <c r="DI182" s="139">
        <v>1274</v>
      </c>
      <c r="DJ182" s="138">
        <v>1295</v>
      </c>
      <c r="DM182" s="139">
        <v>-21</v>
      </c>
      <c r="DN182" s="138">
        <v>173</v>
      </c>
      <c r="DP182" s="138">
        <v>-124</v>
      </c>
      <c r="DQ182" s="138">
        <v>28</v>
      </c>
      <c r="DR182" s="139">
        <v>2204</v>
      </c>
      <c r="DS182" s="139">
        <v>1264</v>
      </c>
      <c r="DT182" s="176"/>
      <c r="DU182" s="139">
        <v>-159</v>
      </c>
      <c r="DV182" s="151">
        <v>-1838</v>
      </c>
      <c r="DW182" s="138">
        <v>-1063</v>
      </c>
      <c r="DX182" s="138">
        <v>9569</v>
      </c>
      <c r="DY182" s="146">
        <v>7849</v>
      </c>
      <c r="DZ182" s="196">
        <v>820</v>
      </c>
      <c r="EA182" s="146">
        <v>900</v>
      </c>
      <c r="EB182" s="114">
        <v>20</v>
      </c>
      <c r="EC182" s="152"/>
      <c r="ED182" s="138">
        <v>93</v>
      </c>
      <c r="EE182" s="138">
        <v>12593</v>
      </c>
      <c r="EF182" s="138">
        <v>13301</v>
      </c>
      <c r="EG182" s="138">
        <v>14575</v>
      </c>
      <c r="EH182" s="138"/>
      <c r="EI182" s="138"/>
      <c r="EJ182" s="138"/>
      <c r="EK182" s="3">
        <v>-1259</v>
      </c>
      <c r="EL182" s="138">
        <v>128</v>
      </c>
      <c r="EM182" s="138">
        <v>166</v>
      </c>
      <c r="EN182" s="3">
        <v>-1211</v>
      </c>
      <c r="EO182" s="138">
        <v>53</v>
      </c>
      <c r="EP182" s="138">
        <v>71</v>
      </c>
      <c r="EQ182" s="3">
        <v>-2531</v>
      </c>
      <c r="ER182" s="138">
        <v>194</v>
      </c>
      <c r="ES182" s="138">
        <v>10</v>
      </c>
      <c r="ET182" s="163">
        <v>500</v>
      </c>
      <c r="EU182" s="163"/>
      <c r="EV182" s="138">
        <v>1840</v>
      </c>
      <c r="EW182" s="138"/>
      <c r="EX182" s="138">
        <v>2000</v>
      </c>
      <c r="EY182" s="138"/>
      <c r="EZ182" s="138">
        <v>9064</v>
      </c>
      <c r="FA182" s="138">
        <v>7270</v>
      </c>
      <c r="FB182" s="138">
        <v>1794</v>
      </c>
      <c r="FC182" s="138">
        <v>832</v>
      </c>
      <c r="FD182" s="138">
        <v>9060</v>
      </c>
      <c r="FE182" s="138">
        <v>7221</v>
      </c>
      <c r="FF182" s="138">
        <v>1839</v>
      </c>
      <c r="FG182" s="138">
        <v>892</v>
      </c>
      <c r="FH182" s="138">
        <v>9221</v>
      </c>
      <c r="FI182" s="138">
        <v>7272</v>
      </c>
      <c r="FJ182" s="138">
        <v>1949</v>
      </c>
      <c r="FK182" s="138">
        <v>970</v>
      </c>
      <c r="FL182" s="147">
        <v>3927</v>
      </c>
      <c r="FM182" s="147">
        <v>3871.5871587158713</v>
      </c>
      <c r="FO182" s="181">
        <f t="shared" si="6"/>
        <v>392.45</v>
      </c>
      <c r="FP182" s="179">
        <f t="shared" si="8"/>
        <v>119.68587984141506</v>
      </c>
      <c r="FR182" s="184"/>
      <c r="FV182" s="184">
        <v>1794</v>
      </c>
      <c r="FW182" s="2">
        <f t="shared" si="7"/>
        <v>-1794</v>
      </c>
    </row>
    <row r="183" spans="1:179" ht="12.75">
      <c r="A183" s="82">
        <v>577</v>
      </c>
      <c r="B183" s="80" t="s">
        <v>178</v>
      </c>
      <c r="C183" s="191">
        <v>10471</v>
      </c>
      <c r="D183" s="146"/>
      <c r="E183" s="150">
        <v>0.63072</v>
      </c>
      <c r="F183" s="150">
        <v>75.1</v>
      </c>
      <c r="G183" s="151">
        <v>-3571</v>
      </c>
      <c r="H183" s="152"/>
      <c r="I183" s="152"/>
      <c r="J183" s="152"/>
      <c r="K183" s="150">
        <v>22.3</v>
      </c>
      <c r="L183" s="151">
        <v>177</v>
      </c>
      <c r="M183" s="151">
        <v>11</v>
      </c>
      <c r="N183" s="154">
        <v>6749.408983451537</v>
      </c>
      <c r="O183" s="146">
        <v>20257</v>
      </c>
      <c r="P183" s="139">
        <v>7503</v>
      </c>
      <c r="Q183" s="139">
        <v>53248</v>
      </c>
      <c r="R183" s="139">
        <v>-45745</v>
      </c>
      <c r="S183" s="146">
        <v>34534</v>
      </c>
      <c r="T183" s="139">
        <v>12907</v>
      </c>
      <c r="U183" s="160"/>
      <c r="W183" s="138">
        <v>-583</v>
      </c>
      <c r="X183" s="138">
        <v>541</v>
      </c>
      <c r="Y183" s="139">
        <v>1654</v>
      </c>
      <c r="Z183" s="138">
        <v>1932</v>
      </c>
      <c r="AC183" s="139">
        <v>-278</v>
      </c>
      <c r="AD183" s="138">
        <v>92</v>
      </c>
      <c r="AG183" s="139">
        <v>-186</v>
      </c>
      <c r="AH183" s="139">
        <v>-6758</v>
      </c>
      <c r="AI183" s="139">
        <v>1244</v>
      </c>
      <c r="AJ183" s="176"/>
      <c r="AK183" s="139">
        <v>206</v>
      </c>
      <c r="AL183" s="151">
        <v>-2808</v>
      </c>
      <c r="AM183" s="151">
        <v>-426</v>
      </c>
      <c r="AN183" s="146">
        <v>34534</v>
      </c>
      <c r="AO183" s="139">
        <v>31413</v>
      </c>
      <c r="AP183" s="139">
        <v>1763</v>
      </c>
      <c r="AQ183" s="139">
        <v>1358</v>
      </c>
      <c r="AR183" s="114">
        <v>19.5</v>
      </c>
      <c r="AS183" s="152"/>
      <c r="AT183" s="138">
        <v>228</v>
      </c>
      <c r="AU183" s="191">
        <v>10591</v>
      </c>
      <c r="AV183" s="146"/>
      <c r="AW183" s="150">
        <v>0.8968583283935981</v>
      </c>
      <c r="AX183" s="150">
        <v>71.5</v>
      </c>
      <c r="AY183" s="151">
        <v>-3636</v>
      </c>
      <c r="AZ183" s="152"/>
      <c r="BA183" s="152"/>
      <c r="BB183" s="152"/>
      <c r="BC183" s="150">
        <v>21.8</v>
      </c>
      <c r="BD183" s="151">
        <v>63</v>
      </c>
      <c r="BE183" s="151">
        <v>4</v>
      </c>
      <c r="BF183" s="154">
        <v>5818.714002454914</v>
      </c>
      <c r="BG183" s="146">
        <v>22310</v>
      </c>
      <c r="BH183" s="139">
        <v>8540</v>
      </c>
      <c r="BI183" s="139">
        <v>54892</v>
      </c>
      <c r="BJ183" s="139">
        <v>-46352</v>
      </c>
      <c r="BK183" s="146">
        <v>36251</v>
      </c>
      <c r="BL183" s="146">
        <v>12539</v>
      </c>
      <c r="BM183" s="160"/>
      <c r="BO183" s="138">
        <v>-540</v>
      </c>
      <c r="BP183" s="138">
        <v>562</v>
      </c>
      <c r="BQ183" s="139">
        <v>2460</v>
      </c>
      <c r="BR183" s="138">
        <v>2028</v>
      </c>
      <c r="BS183" s="138">
        <v>619</v>
      </c>
      <c r="BT183" s="138">
        <v>1124</v>
      </c>
      <c r="BU183" s="139">
        <v>-73</v>
      </c>
      <c r="BV183" s="138">
        <v>90</v>
      </c>
      <c r="BY183" s="138">
        <v>17</v>
      </c>
      <c r="BZ183" s="139">
        <v>-7095</v>
      </c>
      <c r="CA183" s="139">
        <v>1089</v>
      </c>
      <c r="CB183" s="176"/>
      <c r="CC183" s="139">
        <v>209</v>
      </c>
      <c r="CD183" s="151">
        <v>-2808</v>
      </c>
      <c r="CE183" s="151">
        <v>-807</v>
      </c>
      <c r="CF183" s="138">
        <v>36251</v>
      </c>
      <c r="CG183" s="139">
        <v>33389</v>
      </c>
      <c r="CH183" s="139">
        <v>1419</v>
      </c>
      <c r="CI183" s="139">
        <v>1443</v>
      </c>
      <c r="CJ183" s="114">
        <v>19.75</v>
      </c>
      <c r="CK183" s="152"/>
      <c r="CL183" s="138">
        <v>94</v>
      </c>
      <c r="CM183" s="190">
        <v>10590</v>
      </c>
      <c r="CN183" s="146"/>
      <c r="CO183" s="150">
        <v>0.36279486413854883</v>
      </c>
      <c r="CP183" s="150">
        <v>68.77885294649164</v>
      </c>
      <c r="CQ183" s="151">
        <v>-1954.0132200188857</v>
      </c>
      <c r="CR183" s="152"/>
      <c r="CS183" s="152"/>
      <c r="CT183" s="152"/>
      <c r="CU183" s="150">
        <v>43.52054429028816</v>
      </c>
      <c r="CV183" s="151">
        <v>206.32672332389046</v>
      </c>
      <c r="CW183" s="151">
        <v>10.428435064595428</v>
      </c>
      <c r="CX183" s="154">
        <v>7221.529745042493</v>
      </c>
      <c r="CY183" s="146">
        <v>23395</v>
      </c>
      <c r="CZ183" s="139">
        <v>8451</v>
      </c>
      <c r="DA183" s="139">
        <v>60167</v>
      </c>
      <c r="DB183" s="139">
        <v>-51716</v>
      </c>
      <c r="DC183" s="146">
        <v>39257</v>
      </c>
      <c r="DD183" s="146">
        <v>13161</v>
      </c>
      <c r="DE183" s="160"/>
      <c r="DG183" s="138">
        <v>-529</v>
      </c>
      <c r="DH183" s="138">
        <v>501</v>
      </c>
      <c r="DI183" s="139">
        <v>674</v>
      </c>
      <c r="DJ183" s="138">
        <v>2055</v>
      </c>
      <c r="DK183" s="138">
        <v>22440</v>
      </c>
      <c r="DM183" s="139">
        <v>21059</v>
      </c>
      <c r="DN183" s="138">
        <v>84</v>
      </c>
      <c r="DQ183" s="138">
        <v>21143</v>
      </c>
      <c r="DR183" s="139">
        <v>14048</v>
      </c>
      <c r="DS183" s="139">
        <v>22806</v>
      </c>
      <c r="DT183" s="176"/>
      <c r="DU183" s="139">
        <v>-17175</v>
      </c>
      <c r="DV183" s="151">
        <v>-2808</v>
      </c>
      <c r="DW183" s="138">
        <v>17898</v>
      </c>
      <c r="DX183" s="138">
        <v>39257</v>
      </c>
      <c r="DY183" s="146">
        <v>36498</v>
      </c>
      <c r="DZ183" s="196">
        <v>1191</v>
      </c>
      <c r="EA183" s="146">
        <v>1568</v>
      </c>
      <c r="EB183" s="114">
        <v>19.75</v>
      </c>
      <c r="EC183" s="152"/>
      <c r="ED183" s="138">
        <v>257</v>
      </c>
      <c r="EE183" s="138">
        <v>26514</v>
      </c>
      <c r="EF183" s="138">
        <v>25738</v>
      </c>
      <c r="EG183" s="138">
        <v>29285</v>
      </c>
      <c r="EH183" s="138">
        <v>1100</v>
      </c>
      <c r="EI183" s="138"/>
      <c r="EJ183" s="138"/>
      <c r="EK183" s="3">
        <v>-3403</v>
      </c>
      <c r="EL183" s="138">
        <v>155</v>
      </c>
      <c r="EM183" s="138">
        <v>1578</v>
      </c>
      <c r="EN183" s="3">
        <v>-3338</v>
      </c>
      <c r="EO183" s="138">
        <v>323</v>
      </c>
      <c r="EP183" s="138">
        <v>1119</v>
      </c>
      <c r="EQ183" s="3">
        <v>-12950</v>
      </c>
      <c r="ER183" s="138">
        <v>172</v>
      </c>
      <c r="ES183" s="138">
        <v>7870</v>
      </c>
      <c r="ET183" s="163"/>
      <c r="EU183" s="163">
        <v>3500</v>
      </c>
      <c r="EV183" s="138">
        <v>7000</v>
      </c>
      <c r="EW183" s="138">
        <v>-500</v>
      </c>
      <c r="EX183" s="138">
        <v>3000</v>
      </c>
      <c r="EY183" s="138">
        <v>2500</v>
      </c>
      <c r="EZ183" s="138">
        <v>29825</v>
      </c>
      <c r="FA183" s="138">
        <v>13668</v>
      </c>
      <c r="FB183" s="138">
        <v>16157</v>
      </c>
      <c r="FC183" s="138">
        <v>30</v>
      </c>
      <c r="FD183" s="138">
        <v>33518</v>
      </c>
      <c r="FE183" s="138">
        <v>17710</v>
      </c>
      <c r="FF183" s="138">
        <v>15808</v>
      </c>
      <c r="FG183" s="138">
        <v>20</v>
      </c>
      <c r="FH183" s="138">
        <v>36210</v>
      </c>
      <c r="FI183" s="138">
        <v>18053</v>
      </c>
      <c r="FJ183" s="138">
        <v>18157</v>
      </c>
      <c r="FK183" s="138">
        <v>20</v>
      </c>
      <c r="FL183" s="147">
        <v>4130</v>
      </c>
      <c r="FM183" s="147">
        <v>4851.760929090738</v>
      </c>
      <c r="FO183" s="181">
        <f t="shared" si="6"/>
        <v>1848</v>
      </c>
      <c r="FP183" s="179">
        <f t="shared" si="8"/>
        <v>174.5042492917847</v>
      </c>
      <c r="FR183" s="184"/>
      <c r="FV183" s="184">
        <v>2808</v>
      </c>
      <c r="FW183" s="2">
        <f t="shared" si="7"/>
        <v>-2808</v>
      </c>
    </row>
    <row r="184" spans="1:179" ht="12.75">
      <c r="A184" s="82">
        <v>578</v>
      </c>
      <c r="B184" s="80" t="s">
        <v>179</v>
      </c>
      <c r="C184" s="191">
        <v>3807</v>
      </c>
      <c r="D184" s="146"/>
      <c r="E184" s="150">
        <v>0.7663280116110305</v>
      </c>
      <c r="F184" s="150">
        <v>51.4</v>
      </c>
      <c r="G184" s="151">
        <v>-1897</v>
      </c>
      <c r="H184" s="152"/>
      <c r="I184" s="152"/>
      <c r="J184" s="152"/>
      <c r="K184" s="150">
        <v>44.3</v>
      </c>
      <c r="L184" s="151">
        <v>1165</v>
      </c>
      <c r="M184" s="151">
        <v>60</v>
      </c>
      <c r="N184" s="154">
        <v>6492.744276039987</v>
      </c>
      <c r="O184" s="146">
        <v>5915</v>
      </c>
      <c r="P184" s="139">
        <v>3403</v>
      </c>
      <c r="Q184" s="139">
        <v>23026</v>
      </c>
      <c r="R184" s="139">
        <v>-19623</v>
      </c>
      <c r="S184" s="146">
        <v>10193</v>
      </c>
      <c r="T184" s="139">
        <v>10666</v>
      </c>
      <c r="U184" s="160"/>
      <c r="W184" s="138">
        <v>-225</v>
      </c>
      <c r="X184" s="138">
        <v>11</v>
      </c>
      <c r="Y184" s="139">
        <v>1022</v>
      </c>
      <c r="Z184" s="138">
        <v>1033</v>
      </c>
      <c r="AA184" s="139"/>
      <c r="AC184" s="139">
        <v>-11</v>
      </c>
      <c r="AD184" s="139">
        <v>22</v>
      </c>
      <c r="AF184" s="139"/>
      <c r="AG184" s="139">
        <v>11</v>
      </c>
      <c r="AH184" s="139">
        <v>1377</v>
      </c>
      <c r="AI184" s="139">
        <v>1714</v>
      </c>
      <c r="AJ184" s="176"/>
      <c r="AK184" s="139">
        <v>-39</v>
      </c>
      <c r="AL184" s="151">
        <v>-1344</v>
      </c>
      <c r="AM184" s="151">
        <v>-314</v>
      </c>
      <c r="AN184" s="146">
        <v>10193</v>
      </c>
      <c r="AO184" s="139">
        <v>8451</v>
      </c>
      <c r="AP184" s="139">
        <v>714</v>
      </c>
      <c r="AQ184" s="139">
        <v>1028</v>
      </c>
      <c r="AR184" s="114">
        <v>20.5</v>
      </c>
      <c r="AS184" s="152"/>
      <c r="AT184" s="138">
        <v>154</v>
      </c>
      <c r="AU184" s="191">
        <v>3743</v>
      </c>
      <c r="AV184" s="146"/>
      <c r="AW184" s="150">
        <v>0.40605686032138444</v>
      </c>
      <c r="AX184" s="150">
        <v>62.6</v>
      </c>
      <c r="AY184" s="151">
        <v>-2708</v>
      </c>
      <c r="AZ184" s="152"/>
      <c r="BA184" s="152"/>
      <c r="BB184" s="152"/>
      <c r="BC184" s="150">
        <v>38.4</v>
      </c>
      <c r="BD184" s="151">
        <v>1159</v>
      </c>
      <c r="BE184" s="151">
        <v>56</v>
      </c>
      <c r="BF184" s="154">
        <v>7516.1635052097245</v>
      </c>
      <c r="BG184" s="146">
        <v>6172</v>
      </c>
      <c r="BH184" s="139">
        <v>3572</v>
      </c>
      <c r="BI184" s="139">
        <v>23823</v>
      </c>
      <c r="BJ184" s="139">
        <v>-20251</v>
      </c>
      <c r="BK184" s="146">
        <v>9749</v>
      </c>
      <c r="BL184" s="146">
        <v>11086</v>
      </c>
      <c r="BM184" s="160"/>
      <c r="BO184" s="138">
        <v>-226</v>
      </c>
      <c r="BP184" s="138">
        <v>25</v>
      </c>
      <c r="BQ184" s="139">
        <v>383</v>
      </c>
      <c r="BR184" s="138">
        <v>1347</v>
      </c>
      <c r="BS184" s="139"/>
      <c r="BU184" s="139">
        <v>-964</v>
      </c>
      <c r="BV184" s="139">
        <v>21</v>
      </c>
      <c r="BX184" s="139"/>
      <c r="BY184" s="138">
        <v>-943</v>
      </c>
      <c r="BZ184" s="139">
        <v>435</v>
      </c>
      <c r="CA184" s="139">
        <v>-354</v>
      </c>
      <c r="CB184" s="176"/>
      <c r="CC184" s="139">
        <v>9</v>
      </c>
      <c r="CD184" s="151">
        <v>-1344</v>
      </c>
      <c r="CE184" s="151">
        <v>-2942</v>
      </c>
      <c r="CF184" s="138">
        <v>9749</v>
      </c>
      <c r="CG184" s="139">
        <v>8293</v>
      </c>
      <c r="CH184" s="139">
        <v>401</v>
      </c>
      <c r="CI184" s="139">
        <v>1055</v>
      </c>
      <c r="CJ184" s="114">
        <v>20.5</v>
      </c>
      <c r="CK184" s="152"/>
      <c r="CL184" s="138">
        <v>189</v>
      </c>
      <c r="CM184" s="190">
        <v>3620</v>
      </c>
      <c r="CN184" s="146"/>
      <c r="CO184" s="150">
        <v>0.9206852791878173</v>
      </c>
      <c r="CP184" s="150">
        <v>54.882321578185696</v>
      </c>
      <c r="CQ184" s="151">
        <v>-2658.2872928176794</v>
      </c>
      <c r="CR184" s="152"/>
      <c r="CS184" s="152"/>
      <c r="CT184" s="152"/>
      <c r="CU184" s="150">
        <v>40.19543168137214</v>
      </c>
      <c r="CV184" s="151">
        <v>1084.254143646409</v>
      </c>
      <c r="CW184" s="151">
        <v>52.407996780801874</v>
      </c>
      <c r="CX184" s="154">
        <v>7551.381215469613</v>
      </c>
      <c r="CY184" s="146">
        <v>6456</v>
      </c>
      <c r="CZ184" s="139">
        <v>3223</v>
      </c>
      <c r="DA184" s="139">
        <v>25032</v>
      </c>
      <c r="DB184" s="139">
        <v>-21809</v>
      </c>
      <c r="DC184" s="146">
        <v>10712</v>
      </c>
      <c r="DD184" s="146">
        <v>12323</v>
      </c>
      <c r="DE184" s="160"/>
      <c r="DG184" s="138">
        <v>-208</v>
      </c>
      <c r="DH184" s="138">
        <v>201</v>
      </c>
      <c r="DI184" s="139">
        <v>1219</v>
      </c>
      <c r="DJ184" s="138">
        <v>1079</v>
      </c>
      <c r="DK184" s="139"/>
      <c r="DM184" s="139">
        <v>140</v>
      </c>
      <c r="DN184" s="139">
        <v>21</v>
      </c>
      <c r="DP184" s="139"/>
      <c r="DQ184" s="138">
        <v>161</v>
      </c>
      <c r="DR184" s="139">
        <v>612</v>
      </c>
      <c r="DS184" s="139">
        <v>1168</v>
      </c>
      <c r="DT184" s="176"/>
      <c r="DU184" s="139">
        <v>-52</v>
      </c>
      <c r="DV184" s="151">
        <v>-1344</v>
      </c>
      <c r="DW184" s="138">
        <v>470</v>
      </c>
      <c r="DX184" s="138">
        <v>10712</v>
      </c>
      <c r="DY184" s="146">
        <v>9063</v>
      </c>
      <c r="DZ184" s="196">
        <v>463</v>
      </c>
      <c r="EA184" s="146">
        <v>1186</v>
      </c>
      <c r="EB184" s="114">
        <v>21</v>
      </c>
      <c r="EC184" s="152"/>
      <c r="ED184" s="138">
        <v>119</v>
      </c>
      <c r="EE184" s="138">
        <v>14862</v>
      </c>
      <c r="EF184" s="138">
        <v>15397</v>
      </c>
      <c r="EG184" s="138">
        <v>16245</v>
      </c>
      <c r="EH184" s="138"/>
      <c r="EI184" s="138"/>
      <c r="EJ184" s="138"/>
      <c r="EK184" s="3">
        <v>-2113</v>
      </c>
      <c r="EL184" s="138"/>
      <c r="EM184" s="138">
        <v>85</v>
      </c>
      <c r="EN184" s="3">
        <v>-2691</v>
      </c>
      <c r="EO184" s="138">
        <v>21</v>
      </c>
      <c r="EP184" s="138">
        <v>82</v>
      </c>
      <c r="EQ184" s="3">
        <v>-726</v>
      </c>
      <c r="ES184" s="138">
        <v>28</v>
      </c>
      <c r="ET184" s="163"/>
      <c r="EU184" s="163">
        <v>1757</v>
      </c>
      <c r="EV184" s="138"/>
      <c r="EW184" s="138">
        <v>3600</v>
      </c>
      <c r="EX184" s="138">
        <v>2850</v>
      </c>
      <c r="EY184" s="138">
        <v>-1900</v>
      </c>
      <c r="EZ184" s="138">
        <v>11044</v>
      </c>
      <c r="FA184" s="138">
        <v>7901</v>
      </c>
      <c r="FB184" s="138">
        <v>3143</v>
      </c>
      <c r="FC184" s="138">
        <v>381</v>
      </c>
      <c r="FD184" s="138">
        <v>13301</v>
      </c>
      <c r="FE184" s="138">
        <v>6558</v>
      </c>
      <c r="FF184" s="138">
        <v>6743</v>
      </c>
      <c r="FG184" s="138">
        <v>369</v>
      </c>
      <c r="FH184" s="138">
        <v>12908</v>
      </c>
      <c r="FI184" s="138">
        <v>7845</v>
      </c>
      <c r="FJ184" s="138">
        <v>5063</v>
      </c>
      <c r="FK184" s="138">
        <v>354</v>
      </c>
      <c r="FL184" s="147">
        <v>4554</v>
      </c>
      <c r="FM184" s="147">
        <v>5252.738445097515</v>
      </c>
      <c r="FO184" s="181">
        <f t="shared" si="6"/>
        <v>431.57142857142856</v>
      </c>
      <c r="FP184" s="179">
        <f t="shared" si="8"/>
        <v>119.21862667719022</v>
      </c>
      <c r="FR184" s="184"/>
      <c r="FV184" s="184">
        <v>1344</v>
      </c>
      <c r="FW184" s="2">
        <f t="shared" si="7"/>
        <v>-1344</v>
      </c>
    </row>
    <row r="185" spans="1:179" ht="12.75">
      <c r="A185" s="183">
        <v>445</v>
      </c>
      <c r="B185" s="86" t="s">
        <v>406</v>
      </c>
      <c r="C185" s="191">
        <v>15505</v>
      </c>
      <c r="D185" s="146"/>
      <c r="E185" s="150">
        <v>1.9392781316348195</v>
      </c>
      <c r="F185" s="150">
        <v>52.1</v>
      </c>
      <c r="G185" s="151">
        <v>-2936</v>
      </c>
      <c r="H185" s="152"/>
      <c r="I185" s="152"/>
      <c r="J185" s="152"/>
      <c r="K185" s="150">
        <v>54.1</v>
      </c>
      <c r="L185" s="151">
        <v>78</v>
      </c>
      <c r="M185" s="151">
        <v>4</v>
      </c>
      <c r="N185" s="154">
        <v>8472.746704666903</v>
      </c>
      <c r="O185" s="146">
        <v>47576</v>
      </c>
      <c r="P185" s="139">
        <v>18354</v>
      </c>
      <c r="Q185" s="139">
        <v>98319</v>
      </c>
      <c r="R185" s="139">
        <v>-79965</v>
      </c>
      <c r="S185" s="146">
        <v>56646</v>
      </c>
      <c r="T185" s="139">
        <v>28369</v>
      </c>
      <c r="U185" s="160"/>
      <c r="W185" s="138">
        <v>-914</v>
      </c>
      <c r="X185" s="138">
        <v>168</v>
      </c>
      <c r="Y185" s="139">
        <v>4304</v>
      </c>
      <c r="Z185" s="138">
        <v>3722</v>
      </c>
      <c r="AA185" s="139">
        <v>357</v>
      </c>
      <c r="AB185" s="139"/>
      <c r="AC185" s="139">
        <v>939</v>
      </c>
      <c r="AD185" s="139">
        <v>398</v>
      </c>
      <c r="AE185" s="139">
        <v>120</v>
      </c>
      <c r="AF185" s="139"/>
      <c r="AG185" s="139">
        <v>1457</v>
      </c>
      <c r="AH185" s="139">
        <v>5981</v>
      </c>
      <c r="AI185" s="139">
        <v>5267</v>
      </c>
      <c r="AJ185" s="176"/>
      <c r="AK185" s="139">
        <v>-1537</v>
      </c>
      <c r="AL185" s="151">
        <v>-2092</v>
      </c>
      <c r="AM185" s="151">
        <v>-3620</v>
      </c>
      <c r="AN185" s="146">
        <v>56646</v>
      </c>
      <c r="AO185" s="139">
        <v>46707</v>
      </c>
      <c r="AP185" s="139">
        <v>3785</v>
      </c>
      <c r="AQ185" s="139">
        <v>6154</v>
      </c>
      <c r="AR185" s="114">
        <v>19.25</v>
      </c>
      <c r="AS185" s="152"/>
      <c r="AT185" s="138">
        <v>145</v>
      </c>
      <c r="AU185" s="191">
        <v>15561</v>
      </c>
      <c r="AV185" s="146"/>
      <c r="AW185" s="150">
        <v>0.908231173380035</v>
      </c>
      <c r="AX185" s="150">
        <v>56.4</v>
      </c>
      <c r="AY185" s="151">
        <v>-3267</v>
      </c>
      <c r="AZ185" s="152"/>
      <c r="BA185" s="152"/>
      <c r="BB185" s="152"/>
      <c r="BC185" s="150">
        <v>51.2</v>
      </c>
      <c r="BD185" s="151">
        <v>110</v>
      </c>
      <c r="BE185" s="151">
        <v>5</v>
      </c>
      <c r="BF185" s="154">
        <v>7361.416361416361</v>
      </c>
      <c r="BG185" s="146">
        <v>49875</v>
      </c>
      <c r="BH185" s="139">
        <v>16021</v>
      </c>
      <c r="BI185" s="139">
        <v>101929</v>
      </c>
      <c r="BJ185" s="139">
        <v>-85908</v>
      </c>
      <c r="BK185" s="146">
        <v>57277</v>
      </c>
      <c r="BL185" s="146">
        <v>30442</v>
      </c>
      <c r="BM185" s="160"/>
      <c r="BO185" s="138">
        <v>-812</v>
      </c>
      <c r="BP185" s="138">
        <v>772</v>
      </c>
      <c r="BQ185" s="139">
        <v>1771</v>
      </c>
      <c r="BR185" s="138">
        <v>3802</v>
      </c>
      <c r="BS185" s="139"/>
      <c r="BT185" s="139"/>
      <c r="BU185" s="139">
        <v>-2031</v>
      </c>
      <c r="BV185" s="139">
        <v>108</v>
      </c>
      <c r="BW185" s="139"/>
      <c r="BX185" s="139"/>
      <c r="BY185" s="138">
        <v>-1923</v>
      </c>
      <c r="BZ185" s="139">
        <v>4057</v>
      </c>
      <c r="CA185" s="139">
        <v>1854</v>
      </c>
      <c r="CB185" s="176"/>
      <c r="CC185" s="139">
        <v>1228</v>
      </c>
      <c r="CD185" s="151">
        <v>-2033</v>
      </c>
      <c r="CE185" s="151">
        <v>-5438</v>
      </c>
      <c r="CF185" s="138">
        <v>57277</v>
      </c>
      <c r="CG185" s="139">
        <v>48149</v>
      </c>
      <c r="CH185" s="139">
        <v>2803</v>
      </c>
      <c r="CI185" s="139">
        <v>6325</v>
      </c>
      <c r="CJ185" s="114">
        <v>19.25</v>
      </c>
      <c r="CK185" s="152"/>
      <c r="CL185" s="138">
        <v>181</v>
      </c>
      <c r="CM185" s="190">
        <v>15507</v>
      </c>
      <c r="CN185" s="146"/>
      <c r="CO185" s="150">
        <v>0.4349631762556066</v>
      </c>
      <c r="CP185" s="150">
        <v>52.63138568871345</v>
      </c>
      <c r="CQ185" s="151">
        <v>-3179.4673373315277</v>
      </c>
      <c r="CR185" s="152"/>
      <c r="CS185" s="152"/>
      <c r="CT185" s="152"/>
      <c r="CU185" s="150">
        <v>52.82124760860342</v>
      </c>
      <c r="CV185" s="151">
        <v>148.44908750886697</v>
      </c>
      <c r="CW185" s="151">
        <v>6.499957452404713</v>
      </c>
      <c r="CX185" s="154">
        <v>8336.041787579801</v>
      </c>
      <c r="CY185" s="146">
        <v>50843</v>
      </c>
      <c r="CZ185" s="139">
        <v>15183</v>
      </c>
      <c r="DA185" s="139">
        <v>104340</v>
      </c>
      <c r="DB185" s="139">
        <v>-89157</v>
      </c>
      <c r="DC185" s="146">
        <v>62372</v>
      </c>
      <c r="DD185" s="146">
        <v>31380</v>
      </c>
      <c r="DE185" s="160"/>
      <c r="DG185" s="138">
        <v>-1016</v>
      </c>
      <c r="DH185" s="138">
        <v>3251</v>
      </c>
      <c r="DI185" s="139">
        <v>6830</v>
      </c>
      <c r="DJ185" s="138">
        <v>4125</v>
      </c>
      <c r="DK185" s="139">
        <v>330</v>
      </c>
      <c r="DL185" s="139"/>
      <c r="DM185" s="139">
        <v>3035</v>
      </c>
      <c r="DN185" s="139">
        <v>43</v>
      </c>
      <c r="DO185" s="139"/>
      <c r="DP185" s="139"/>
      <c r="DQ185" s="138">
        <v>3078</v>
      </c>
      <c r="DR185" s="139">
        <v>7136</v>
      </c>
      <c r="DS185" s="139">
        <v>6711</v>
      </c>
      <c r="DT185" s="176"/>
      <c r="DU185" s="139">
        <v>209</v>
      </c>
      <c r="DV185" s="151">
        <v>-17034</v>
      </c>
      <c r="DW185" s="138">
        <v>1479</v>
      </c>
      <c r="DX185" s="138">
        <v>62372</v>
      </c>
      <c r="DY185" s="146">
        <v>53015</v>
      </c>
      <c r="DZ185" s="196">
        <v>2333</v>
      </c>
      <c r="EA185" s="146">
        <v>7024</v>
      </c>
      <c r="EB185" s="114">
        <v>19.75</v>
      </c>
      <c r="EC185" s="152"/>
      <c r="ED185" s="138">
        <v>75</v>
      </c>
      <c r="EE185" s="138">
        <v>38694</v>
      </c>
      <c r="EF185" s="138">
        <v>39185</v>
      </c>
      <c r="EG185" s="138">
        <v>40869</v>
      </c>
      <c r="EH185" s="138"/>
      <c r="EI185" s="138"/>
      <c r="EJ185" s="138"/>
      <c r="EK185" s="3">
        <v>-12570</v>
      </c>
      <c r="EL185" s="138">
        <v>1465</v>
      </c>
      <c r="EM185" s="138">
        <v>2218</v>
      </c>
      <c r="EN185" s="3">
        <v>-9765</v>
      </c>
      <c r="EO185" s="138">
        <v>1227</v>
      </c>
      <c r="EP185" s="138">
        <v>1246</v>
      </c>
      <c r="EQ185" s="3">
        <v>-6823</v>
      </c>
      <c r="ER185" s="138">
        <v>411</v>
      </c>
      <c r="ES185" s="138">
        <v>1180</v>
      </c>
      <c r="ET185" s="163">
        <v>15000</v>
      </c>
      <c r="EU185" s="163">
        <v>-10965</v>
      </c>
      <c r="EV185" s="138">
        <v>14000</v>
      </c>
      <c r="EW185" s="138">
        <v>-4016</v>
      </c>
      <c r="EX185" s="138"/>
      <c r="EY185" s="138">
        <v>13457</v>
      </c>
      <c r="EZ185" s="138">
        <v>39663</v>
      </c>
      <c r="FA185" s="138">
        <v>28595</v>
      </c>
      <c r="FB185" s="138">
        <v>11068</v>
      </c>
      <c r="FC185" s="138">
        <v>284</v>
      </c>
      <c r="FD185" s="138">
        <v>47614</v>
      </c>
      <c r="FE185" s="138">
        <v>25561</v>
      </c>
      <c r="FF185" s="138">
        <v>22053</v>
      </c>
      <c r="FG185" s="138">
        <v>284</v>
      </c>
      <c r="FH185" s="138">
        <v>44038</v>
      </c>
      <c r="FI185" s="138">
        <v>23567</v>
      </c>
      <c r="FJ185" s="138">
        <v>20471</v>
      </c>
      <c r="FK185" s="138">
        <v>318</v>
      </c>
      <c r="FL185" s="147">
        <v>3479</v>
      </c>
      <c r="FM185" s="147">
        <v>4020.499967868389</v>
      </c>
      <c r="FO185" s="181">
        <f t="shared" si="6"/>
        <v>2684.3037974683543</v>
      </c>
      <c r="FP185" s="179">
        <f t="shared" si="8"/>
        <v>173.1027147396888</v>
      </c>
      <c r="FR185" s="184"/>
      <c r="FV185" s="184">
        <v>2092</v>
      </c>
      <c r="FW185" s="2">
        <f t="shared" si="7"/>
        <v>-2092</v>
      </c>
    </row>
    <row r="186" spans="1:179" ht="12.75">
      <c r="A186" s="82">
        <v>580</v>
      </c>
      <c r="B186" s="80" t="s">
        <v>180</v>
      </c>
      <c r="C186" s="191">
        <v>5664</v>
      </c>
      <c r="D186" s="146"/>
      <c r="E186" s="150">
        <v>1.3689320388349515</v>
      </c>
      <c r="F186" s="150">
        <v>15.1</v>
      </c>
      <c r="G186" s="151">
        <v>-227</v>
      </c>
      <c r="H186" s="152"/>
      <c r="I186" s="152"/>
      <c r="J186" s="152"/>
      <c r="K186" s="150">
        <v>80.2</v>
      </c>
      <c r="L186" s="151">
        <v>258</v>
      </c>
      <c r="M186" s="151">
        <v>13</v>
      </c>
      <c r="N186" s="154">
        <v>7607.87429378531</v>
      </c>
      <c r="O186" s="146">
        <v>12001</v>
      </c>
      <c r="P186" s="139">
        <v>11248</v>
      </c>
      <c r="Q186" s="139">
        <v>40162</v>
      </c>
      <c r="R186" s="139">
        <v>-28914</v>
      </c>
      <c r="S186" s="146">
        <v>14363</v>
      </c>
      <c r="T186" s="139">
        <v>15520</v>
      </c>
      <c r="U186" s="160"/>
      <c r="W186" s="138">
        <v>-13</v>
      </c>
      <c r="X186" s="138">
        <v>35</v>
      </c>
      <c r="Y186" s="139">
        <v>991</v>
      </c>
      <c r="Z186" s="138">
        <v>1297</v>
      </c>
      <c r="AA186" s="139"/>
      <c r="AB186" s="139"/>
      <c r="AC186" s="139">
        <v>-306</v>
      </c>
      <c r="AD186" s="139">
        <v>31</v>
      </c>
      <c r="AE186" s="139"/>
      <c r="AF186" s="139">
        <v>-3</v>
      </c>
      <c r="AG186" s="139">
        <v>-278</v>
      </c>
      <c r="AH186" s="139">
        <v>11156</v>
      </c>
      <c r="AI186" s="139">
        <v>1018</v>
      </c>
      <c r="AJ186" s="176"/>
      <c r="AK186" s="138">
        <v>350</v>
      </c>
      <c r="AL186" s="151">
        <v>-649</v>
      </c>
      <c r="AM186" s="151">
        <v>-233</v>
      </c>
      <c r="AN186" s="146">
        <v>14363</v>
      </c>
      <c r="AO186" s="139">
        <v>12047</v>
      </c>
      <c r="AP186" s="139">
        <v>1180</v>
      </c>
      <c r="AQ186" s="139">
        <v>1136</v>
      </c>
      <c r="AR186" s="114">
        <v>18.5</v>
      </c>
      <c r="AS186" s="152"/>
      <c r="AT186" s="138">
        <v>217</v>
      </c>
      <c r="AU186" s="191">
        <v>5591</v>
      </c>
      <c r="AV186" s="146"/>
      <c r="AW186" s="150">
        <v>0.22439024390243903</v>
      </c>
      <c r="AX186" s="150">
        <v>17.3</v>
      </c>
      <c r="AY186" s="151">
        <v>-485</v>
      </c>
      <c r="AZ186" s="152"/>
      <c r="BA186" s="152"/>
      <c r="BB186" s="152"/>
      <c r="BC186" s="150">
        <v>77.7</v>
      </c>
      <c r="BD186" s="151">
        <v>181</v>
      </c>
      <c r="BE186" s="151">
        <v>9</v>
      </c>
      <c r="BF186" s="154">
        <v>7683.59864067251</v>
      </c>
      <c r="BG186" s="146">
        <v>12060</v>
      </c>
      <c r="BH186" s="139">
        <v>10814</v>
      </c>
      <c r="BI186" s="139">
        <v>40933</v>
      </c>
      <c r="BJ186" s="139">
        <v>-30119</v>
      </c>
      <c r="BK186" s="146">
        <v>14154</v>
      </c>
      <c r="BL186" s="146">
        <v>15945</v>
      </c>
      <c r="BM186" s="160"/>
      <c r="BO186" s="138">
        <v>-16</v>
      </c>
      <c r="BP186" s="138">
        <v>49</v>
      </c>
      <c r="BQ186" s="139">
        <v>13</v>
      </c>
      <c r="BR186" s="138">
        <v>1332</v>
      </c>
      <c r="BS186" s="139"/>
      <c r="BT186" s="139"/>
      <c r="BU186" s="139">
        <v>-1319</v>
      </c>
      <c r="BV186" s="139">
        <v>29</v>
      </c>
      <c r="BW186" s="139"/>
      <c r="BX186" s="139">
        <v>20</v>
      </c>
      <c r="BY186" s="138">
        <v>-1270</v>
      </c>
      <c r="BZ186" s="139">
        <v>9957</v>
      </c>
      <c r="CA186" s="139">
        <v>-38</v>
      </c>
      <c r="CB186" s="176"/>
      <c r="CC186" s="138">
        <v>143</v>
      </c>
      <c r="CD186" s="151">
        <v>-172</v>
      </c>
      <c r="CE186" s="151">
        <v>-1501</v>
      </c>
      <c r="CF186" s="138">
        <v>14154</v>
      </c>
      <c r="CG186" s="139">
        <v>12196</v>
      </c>
      <c r="CH186" s="139">
        <v>815</v>
      </c>
      <c r="CI186" s="139">
        <v>1143</v>
      </c>
      <c r="CJ186" s="114">
        <v>18.5</v>
      </c>
      <c r="CK186" s="152"/>
      <c r="CL186" s="138">
        <v>238</v>
      </c>
      <c r="CM186" s="190">
        <v>5509</v>
      </c>
      <c r="CN186" s="146"/>
      <c r="CO186" s="150">
        <v>6.458461538461538</v>
      </c>
      <c r="CP186" s="150">
        <v>18.311436772221313</v>
      </c>
      <c r="CQ186" s="151">
        <v>-728.9889272100199</v>
      </c>
      <c r="CR186" s="152"/>
      <c r="CS186" s="152"/>
      <c r="CT186" s="152"/>
      <c r="CU186" s="150">
        <v>76.4157458563536</v>
      </c>
      <c r="CV186" s="151">
        <v>147.75821383191143</v>
      </c>
      <c r="CW186" s="151">
        <v>6.537073707370737</v>
      </c>
      <c r="CX186" s="154">
        <v>8250.136140860412</v>
      </c>
      <c r="CY186" s="146">
        <v>11487</v>
      </c>
      <c r="CZ186" s="139">
        <v>10817</v>
      </c>
      <c r="DA186" s="139">
        <v>40835</v>
      </c>
      <c r="DB186" s="139">
        <v>-30018</v>
      </c>
      <c r="DC186" s="146">
        <v>15719</v>
      </c>
      <c r="DD186" s="146">
        <v>16317</v>
      </c>
      <c r="DE186" s="160"/>
      <c r="DG186" s="138">
        <v>-24</v>
      </c>
      <c r="DH186" s="138">
        <v>70</v>
      </c>
      <c r="DI186" s="139">
        <v>2064</v>
      </c>
      <c r="DJ186" s="138">
        <v>1398</v>
      </c>
      <c r="DK186" s="139"/>
      <c r="DL186" s="139"/>
      <c r="DM186" s="139">
        <v>666</v>
      </c>
      <c r="DN186" s="139">
        <v>27</v>
      </c>
      <c r="DO186" s="139"/>
      <c r="DP186" s="139">
        <v>-2</v>
      </c>
      <c r="DQ186" s="138">
        <v>691</v>
      </c>
      <c r="DR186" s="139">
        <v>10647</v>
      </c>
      <c r="DS186" s="139">
        <v>2027</v>
      </c>
      <c r="DT186" s="176"/>
      <c r="DU186" s="138">
        <v>321</v>
      </c>
      <c r="DV186" s="151">
        <v>-290</v>
      </c>
      <c r="DW186" s="138">
        <v>-1319</v>
      </c>
      <c r="DX186" s="138">
        <v>15719</v>
      </c>
      <c r="DY186" s="146">
        <v>13549</v>
      </c>
      <c r="DZ186" s="196">
        <v>992</v>
      </c>
      <c r="EA186" s="146">
        <v>1178</v>
      </c>
      <c r="EB186" s="114">
        <v>19.5</v>
      </c>
      <c r="EC186" s="152"/>
      <c r="ED186" s="138">
        <v>98</v>
      </c>
      <c r="EE186" s="138">
        <v>24661</v>
      </c>
      <c r="EF186" s="138">
        <v>25251</v>
      </c>
      <c r="EG186" s="138">
        <v>25645</v>
      </c>
      <c r="EH186" s="138"/>
      <c r="EI186" s="138"/>
      <c r="EJ186" s="138"/>
      <c r="EK186" s="3">
        <v>-1693</v>
      </c>
      <c r="EL186" s="138">
        <v>303</v>
      </c>
      <c r="EM186" s="138">
        <v>139</v>
      </c>
      <c r="EN186" s="3">
        <v>-1821</v>
      </c>
      <c r="EO186" s="138">
        <v>281</v>
      </c>
      <c r="EP186" s="138">
        <v>77</v>
      </c>
      <c r="EQ186" s="3">
        <v>-4286</v>
      </c>
      <c r="ER186" s="138">
        <v>527</v>
      </c>
      <c r="ES186" s="138">
        <v>413</v>
      </c>
      <c r="ET186" s="163">
        <v>500</v>
      </c>
      <c r="EU186" s="163"/>
      <c r="EV186" s="138">
        <v>500</v>
      </c>
      <c r="EW186" s="138"/>
      <c r="EX186" s="138">
        <v>2000</v>
      </c>
      <c r="EY186" s="138"/>
      <c r="EZ186" s="138">
        <v>1435</v>
      </c>
      <c r="FA186" s="138">
        <v>1264</v>
      </c>
      <c r="FB186" s="138">
        <v>171</v>
      </c>
      <c r="FC186" s="138">
        <v>182</v>
      </c>
      <c r="FD186" s="138">
        <v>1765</v>
      </c>
      <c r="FE186" s="138">
        <v>1543</v>
      </c>
      <c r="FF186" s="138">
        <v>222</v>
      </c>
      <c r="FG186" s="138">
        <v>170</v>
      </c>
      <c r="FH186" s="138">
        <v>3473</v>
      </c>
      <c r="FI186" s="138">
        <v>3114</v>
      </c>
      <c r="FJ186" s="138">
        <v>359</v>
      </c>
      <c r="FK186" s="138">
        <v>158</v>
      </c>
      <c r="FL186" s="147">
        <v>514</v>
      </c>
      <c r="FM186" s="147">
        <v>750.313003040601</v>
      </c>
      <c r="FO186" s="181">
        <f aca="true" t="shared" si="9" ref="FO186:FO247">(DY186/EB186)</f>
        <v>694.8205128205128</v>
      </c>
      <c r="FP186" s="179">
        <f t="shared" si="8"/>
        <v>126.12461659475638</v>
      </c>
      <c r="FR186" s="184"/>
      <c r="FV186" s="184">
        <v>649</v>
      </c>
      <c r="FW186" s="2">
        <f aca="true" t="shared" si="10" ref="FW186:FW247">FV186*-1</f>
        <v>-649</v>
      </c>
    </row>
    <row r="187" spans="1:179" ht="12.75">
      <c r="A187" s="82">
        <v>581</v>
      </c>
      <c r="B187" s="80" t="s">
        <v>181</v>
      </c>
      <c r="C187" s="191">
        <v>6982</v>
      </c>
      <c r="D187" s="146"/>
      <c r="E187" s="150">
        <v>2.67687074829932</v>
      </c>
      <c r="F187" s="150">
        <v>34.5</v>
      </c>
      <c r="G187" s="151">
        <v>-1116</v>
      </c>
      <c r="H187" s="152"/>
      <c r="I187" s="152"/>
      <c r="J187" s="152"/>
      <c r="K187" s="150">
        <v>59.8</v>
      </c>
      <c r="L187" s="151">
        <v>670</v>
      </c>
      <c r="M187" s="151">
        <v>41</v>
      </c>
      <c r="N187" s="154">
        <v>6969.492981953595</v>
      </c>
      <c r="O187" s="146">
        <v>17740</v>
      </c>
      <c r="P187" s="139">
        <v>7010</v>
      </c>
      <c r="Q187" s="139">
        <v>39019</v>
      </c>
      <c r="R187" s="139">
        <v>-32009</v>
      </c>
      <c r="S187" s="146">
        <v>20500</v>
      </c>
      <c r="T187" s="139">
        <v>14542</v>
      </c>
      <c r="U187" s="160"/>
      <c r="W187" s="138">
        <v>-219</v>
      </c>
      <c r="X187" s="138">
        <v>112</v>
      </c>
      <c r="Y187" s="139">
        <v>2926</v>
      </c>
      <c r="Z187" s="138">
        <v>1294</v>
      </c>
      <c r="AC187" s="139">
        <v>1632</v>
      </c>
      <c r="AG187" s="139">
        <v>1632</v>
      </c>
      <c r="AH187" s="139">
        <v>8187</v>
      </c>
      <c r="AI187" s="139">
        <v>2765</v>
      </c>
      <c r="AJ187" s="176"/>
      <c r="AK187" s="138">
        <v>-250</v>
      </c>
      <c r="AL187" s="151">
        <v>-954</v>
      </c>
      <c r="AM187" s="151">
        <v>1083</v>
      </c>
      <c r="AN187" s="146">
        <v>20500</v>
      </c>
      <c r="AO187" s="139">
        <v>16999</v>
      </c>
      <c r="AP187" s="139">
        <v>2294</v>
      </c>
      <c r="AQ187" s="139">
        <v>1207</v>
      </c>
      <c r="AR187" s="114">
        <v>20.5</v>
      </c>
      <c r="AS187" s="152"/>
      <c r="AT187" s="138">
        <v>70</v>
      </c>
      <c r="AU187" s="191">
        <v>6918</v>
      </c>
      <c r="AV187" s="146"/>
      <c r="AW187" s="150">
        <v>1.1707523245984786</v>
      </c>
      <c r="AX187" s="150">
        <v>34.6</v>
      </c>
      <c r="AY187" s="151">
        <v>-1613</v>
      </c>
      <c r="AZ187" s="152"/>
      <c r="BA187" s="152"/>
      <c r="BB187" s="152"/>
      <c r="BC187" s="150">
        <v>59.2</v>
      </c>
      <c r="BD187" s="151">
        <v>210</v>
      </c>
      <c r="BE187" s="151">
        <v>11</v>
      </c>
      <c r="BF187" s="154">
        <v>6830.5868748193125</v>
      </c>
      <c r="BG187" s="146">
        <v>18849</v>
      </c>
      <c r="BH187" s="139">
        <v>7136</v>
      </c>
      <c r="BI187" s="139">
        <v>41662</v>
      </c>
      <c r="BJ187" s="139">
        <v>-34526</v>
      </c>
      <c r="BK187" s="146">
        <v>20361</v>
      </c>
      <c r="BL187" s="146">
        <v>15425</v>
      </c>
      <c r="BM187" s="160"/>
      <c r="BO187" s="138">
        <v>-154</v>
      </c>
      <c r="BP187" s="138">
        <v>79</v>
      </c>
      <c r="BQ187" s="139">
        <v>1185</v>
      </c>
      <c r="BR187" s="138">
        <v>1292</v>
      </c>
      <c r="BU187" s="139">
        <v>-107</v>
      </c>
      <c r="BY187" s="138">
        <v>-107</v>
      </c>
      <c r="BZ187" s="139">
        <v>8080</v>
      </c>
      <c r="CA187" s="139">
        <v>1133</v>
      </c>
      <c r="CB187" s="176"/>
      <c r="CC187" s="138">
        <v>-172</v>
      </c>
      <c r="CD187" s="151">
        <v>-983</v>
      </c>
      <c r="CE187" s="151">
        <v>-3395</v>
      </c>
      <c r="CF187" s="138">
        <v>20361</v>
      </c>
      <c r="CG187" s="139">
        <v>17554</v>
      </c>
      <c r="CH187" s="139">
        <v>1527</v>
      </c>
      <c r="CI187" s="139">
        <v>1280</v>
      </c>
      <c r="CJ187" s="114">
        <v>20.5</v>
      </c>
      <c r="CK187" s="152"/>
      <c r="CL187" s="138">
        <v>138</v>
      </c>
      <c r="CM187" s="190">
        <v>6836</v>
      </c>
      <c r="CN187" s="146"/>
      <c r="CO187" s="150">
        <v>2.206439393939394</v>
      </c>
      <c r="CP187" s="150">
        <v>43.38124959224061</v>
      </c>
      <c r="CQ187" s="151">
        <v>-2056.173200702165</v>
      </c>
      <c r="CR187" s="152"/>
      <c r="CS187" s="152"/>
      <c r="CT187" s="152"/>
      <c r="CU187" s="150">
        <v>51.137027658745616</v>
      </c>
      <c r="CV187" s="151">
        <v>406.52428320655355</v>
      </c>
      <c r="CW187" s="151">
        <v>20.150482736699907</v>
      </c>
      <c r="CX187" s="154">
        <v>7363.662960795787</v>
      </c>
      <c r="CY187" s="146">
        <v>19821</v>
      </c>
      <c r="CZ187" s="139">
        <v>8691</v>
      </c>
      <c r="DA187" s="139">
        <v>45160</v>
      </c>
      <c r="DB187" s="139">
        <v>-36469</v>
      </c>
      <c r="DC187" s="146">
        <v>21176</v>
      </c>
      <c r="DD187" s="146">
        <v>16363</v>
      </c>
      <c r="DE187" s="160"/>
      <c r="DG187" s="138">
        <v>-116</v>
      </c>
      <c r="DH187" s="138">
        <v>81</v>
      </c>
      <c r="DI187" s="139">
        <v>1035</v>
      </c>
      <c r="DJ187" s="138">
        <v>1532</v>
      </c>
      <c r="DM187" s="139">
        <v>-497</v>
      </c>
      <c r="DQ187" s="138">
        <v>-497</v>
      </c>
      <c r="DR187" s="139">
        <v>7583</v>
      </c>
      <c r="DS187" s="139">
        <v>811</v>
      </c>
      <c r="DT187" s="176"/>
      <c r="DU187" s="138">
        <v>-987</v>
      </c>
      <c r="DV187" s="151">
        <v>-398</v>
      </c>
      <c r="DW187" s="138">
        <v>-2975</v>
      </c>
      <c r="DX187" s="138">
        <v>21176</v>
      </c>
      <c r="DY187" s="146">
        <v>18241</v>
      </c>
      <c r="DZ187" s="196">
        <v>1638</v>
      </c>
      <c r="EA187" s="146">
        <v>1297</v>
      </c>
      <c r="EB187" s="114">
        <v>20.5</v>
      </c>
      <c r="EC187" s="152"/>
      <c r="ED187" s="138">
        <v>224</v>
      </c>
      <c r="EE187" s="138">
        <v>16759</v>
      </c>
      <c r="EF187" s="138">
        <v>17870</v>
      </c>
      <c r="EG187" s="138">
        <v>20075</v>
      </c>
      <c r="EH187" s="138"/>
      <c r="EI187" s="138"/>
      <c r="EJ187" s="138"/>
      <c r="EK187" s="3">
        <v>-1940</v>
      </c>
      <c r="EL187" s="138">
        <v>6</v>
      </c>
      <c r="EM187" s="138">
        <v>252</v>
      </c>
      <c r="EN187" s="3">
        <v>-4714</v>
      </c>
      <c r="EO187" s="138">
        <v>61</v>
      </c>
      <c r="EP187" s="138">
        <v>125</v>
      </c>
      <c r="EQ187" s="3">
        <v>-4890</v>
      </c>
      <c r="ER187" s="138">
        <v>775</v>
      </c>
      <c r="ES187" s="138">
        <v>329</v>
      </c>
      <c r="ET187" s="163"/>
      <c r="EU187" s="163"/>
      <c r="EV187" s="138">
        <v>405</v>
      </c>
      <c r="EW187" s="138">
        <v>1000</v>
      </c>
      <c r="EX187" s="138">
        <v>3000</v>
      </c>
      <c r="EY187" s="138">
        <v>1000</v>
      </c>
      <c r="EZ187" s="138">
        <v>9581</v>
      </c>
      <c r="FA187" s="138">
        <v>8598</v>
      </c>
      <c r="FB187" s="138">
        <v>983</v>
      </c>
      <c r="FC187" s="138">
        <v>698</v>
      </c>
      <c r="FD187" s="138">
        <v>10003</v>
      </c>
      <c r="FE187" s="138">
        <v>8602</v>
      </c>
      <c r="FF187" s="138">
        <v>1401</v>
      </c>
      <c r="FG187" s="138">
        <v>698</v>
      </c>
      <c r="FH187" s="138">
        <v>13605</v>
      </c>
      <c r="FI187" s="138">
        <v>11559</v>
      </c>
      <c r="FJ187" s="138">
        <v>2046</v>
      </c>
      <c r="FK187" s="138">
        <v>690</v>
      </c>
      <c r="FL187" s="147">
        <v>2576</v>
      </c>
      <c r="FM187" s="147">
        <v>2581.9601040763228</v>
      </c>
      <c r="FO187" s="181">
        <f t="shared" si="9"/>
        <v>889.8048780487804</v>
      </c>
      <c r="FP187" s="179">
        <f t="shared" si="8"/>
        <v>130.16455208437398</v>
      </c>
      <c r="FR187" s="184"/>
      <c r="FV187" s="184">
        <v>954</v>
      </c>
      <c r="FW187" s="2">
        <f t="shared" si="10"/>
        <v>-954</v>
      </c>
    </row>
    <row r="188" spans="1:179" ht="12.75">
      <c r="A188" s="82">
        <v>599</v>
      </c>
      <c r="B188" s="80" t="s">
        <v>331</v>
      </c>
      <c r="C188" s="191">
        <v>10937</v>
      </c>
      <c r="D188" s="146"/>
      <c r="E188" s="150">
        <v>1.3099114538703227</v>
      </c>
      <c r="F188" s="150">
        <v>36</v>
      </c>
      <c r="G188" s="151">
        <v>-1368</v>
      </c>
      <c r="H188" s="152"/>
      <c r="I188" s="152"/>
      <c r="J188" s="152"/>
      <c r="K188" s="150">
        <v>58.1</v>
      </c>
      <c r="L188" s="151">
        <v>286</v>
      </c>
      <c r="M188" s="151">
        <v>16</v>
      </c>
      <c r="N188" s="154">
        <v>8680.89969827192</v>
      </c>
      <c r="O188" s="146">
        <v>23547</v>
      </c>
      <c r="P188" s="139">
        <v>9982</v>
      </c>
      <c r="Q188" s="139">
        <v>62211</v>
      </c>
      <c r="R188" s="139">
        <v>-52229</v>
      </c>
      <c r="S188" s="146">
        <v>29159</v>
      </c>
      <c r="T188" s="139">
        <v>25495</v>
      </c>
      <c r="U188" s="160"/>
      <c r="W188" s="138">
        <v>-88</v>
      </c>
      <c r="X188" s="138">
        <v>213</v>
      </c>
      <c r="Y188" s="139">
        <v>2550</v>
      </c>
      <c r="Z188" s="138">
        <v>1970</v>
      </c>
      <c r="AC188" s="139">
        <v>580</v>
      </c>
      <c r="AD188" s="139">
        <v>46</v>
      </c>
      <c r="AE188" s="139"/>
      <c r="AF188" s="139"/>
      <c r="AG188" s="139">
        <v>626</v>
      </c>
      <c r="AH188" s="139">
        <v>7742</v>
      </c>
      <c r="AI188" s="139">
        <v>2466</v>
      </c>
      <c r="AJ188" s="176"/>
      <c r="AK188" s="139">
        <v>-9</v>
      </c>
      <c r="AL188" s="151">
        <v>-1465</v>
      </c>
      <c r="AM188" s="151">
        <v>-4951</v>
      </c>
      <c r="AN188" s="146">
        <v>29159</v>
      </c>
      <c r="AO188" s="139">
        <v>25398</v>
      </c>
      <c r="AP188" s="139">
        <v>2327</v>
      </c>
      <c r="AQ188" s="139">
        <v>1434</v>
      </c>
      <c r="AR188" s="114">
        <v>19.5</v>
      </c>
      <c r="AS188" s="152"/>
      <c r="AT188" s="138">
        <v>175</v>
      </c>
      <c r="AU188" s="191">
        <v>10940</v>
      </c>
      <c r="AV188" s="146"/>
      <c r="AW188" s="150">
        <v>0.44090056285178236</v>
      </c>
      <c r="AX188" s="150">
        <v>47.6</v>
      </c>
      <c r="AY188" s="151">
        <v>-1939</v>
      </c>
      <c r="AZ188" s="152"/>
      <c r="BA188" s="152"/>
      <c r="BB188" s="152"/>
      <c r="BC188" s="150">
        <v>49.6</v>
      </c>
      <c r="BD188" s="151">
        <v>583</v>
      </c>
      <c r="BE188" s="151">
        <v>30</v>
      </c>
      <c r="BF188" s="154">
        <v>7010.511882998172</v>
      </c>
      <c r="BG188" s="146">
        <v>24681</v>
      </c>
      <c r="BH188" s="139">
        <v>10735</v>
      </c>
      <c r="BI188" s="139">
        <v>66420</v>
      </c>
      <c r="BJ188" s="139">
        <v>-55685</v>
      </c>
      <c r="BK188" s="146">
        <v>30170</v>
      </c>
      <c r="BL188" s="146">
        <v>26266</v>
      </c>
      <c r="BM188" s="160"/>
      <c r="BO188" s="138">
        <v>-162</v>
      </c>
      <c r="BP188" s="138">
        <v>255</v>
      </c>
      <c r="BQ188" s="139">
        <v>844</v>
      </c>
      <c r="BR188" s="138">
        <v>2073</v>
      </c>
      <c r="BU188" s="139">
        <v>-1229</v>
      </c>
      <c r="BV188" s="139">
        <v>46</v>
      </c>
      <c r="BW188" s="139"/>
      <c r="BX188" s="139"/>
      <c r="BY188" s="138">
        <v>-1183</v>
      </c>
      <c r="BZ188" s="139">
        <v>6851</v>
      </c>
      <c r="CA188" s="139">
        <v>919</v>
      </c>
      <c r="CB188" s="176"/>
      <c r="CC188" s="139">
        <v>772</v>
      </c>
      <c r="CD188" s="151">
        <v>-2334</v>
      </c>
      <c r="CE188" s="151">
        <v>-5159</v>
      </c>
      <c r="CF188" s="138">
        <v>30170</v>
      </c>
      <c r="CG188" s="139">
        <v>26936</v>
      </c>
      <c r="CH188" s="139">
        <v>1750</v>
      </c>
      <c r="CI188" s="139">
        <v>1484</v>
      </c>
      <c r="CJ188" s="114">
        <v>19.5</v>
      </c>
      <c r="CK188" s="152"/>
      <c r="CL188" s="138">
        <v>207</v>
      </c>
      <c r="CM188" s="190">
        <v>10970</v>
      </c>
      <c r="CN188" s="146"/>
      <c r="CO188" s="150">
        <v>2.364705882352941</v>
      </c>
      <c r="CP188" s="150">
        <v>45.7280543522627</v>
      </c>
      <c r="CQ188" s="151">
        <v>-1995.6244302643572</v>
      </c>
      <c r="CR188" s="152"/>
      <c r="CS188" s="152"/>
      <c r="CT188" s="152"/>
      <c r="CU188" s="150">
        <v>49.67436690370666</v>
      </c>
      <c r="CV188" s="151">
        <v>764.5396536007293</v>
      </c>
      <c r="CW188" s="151">
        <v>38.76232985121874</v>
      </c>
      <c r="CX188" s="154">
        <v>7199.179580674567</v>
      </c>
      <c r="CY188" s="146">
        <v>27839</v>
      </c>
      <c r="CZ188" s="139">
        <v>15753</v>
      </c>
      <c r="DA188" s="139">
        <v>71354</v>
      </c>
      <c r="DB188" s="139">
        <v>-55601</v>
      </c>
      <c r="DC188" s="146">
        <v>33959</v>
      </c>
      <c r="DD188" s="146">
        <v>26314</v>
      </c>
      <c r="DE188" s="160"/>
      <c r="DG188" s="138">
        <v>-187</v>
      </c>
      <c r="DH188" s="138">
        <v>257</v>
      </c>
      <c r="DI188" s="139">
        <v>4742</v>
      </c>
      <c r="DJ188" s="138">
        <v>1942</v>
      </c>
      <c r="DM188" s="139">
        <v>2800</v>
      </c>
      <c r="DN188" s="139">
        <v>47</v>
      </c>
      <c r="DO188" s="139"/>
      <c r="DP188" s="139"/>
      <c r="DQ188" s="138">
        <v>2847</v>
      </c>
      <c r="DR188" s="139">
        <v>9667</v>
      </c>
      <c r="DS188" s="139">
        <v>4526</v>
      </c>
      <c r="DT188" s="176"/>
      <c r="DU188" s="139">
        <v>-105</v>
      </c>
      <c r="DV188" s="151">
        <v>-1842</v>
      </c>
      <c r="DW188" s="138">
        <v>-677</v>
      </c>
      <c r="DX188" s="138">
        <v>33959</v>
      </c>
      <c r="DY188" s="146">
        <v>29861</v>
      </c>
      <c r="DZ188" s="196">
        <v>2301</v>
      </c>
      <c r="EA188" s="146">
        <v>1797</v>
      </c>
      <c r="EB188" s="114">
        <v>20.5</v>
      </c>
      <c r="EC188" s="152"/>
      <c r="ED188" s="138">
        <v>79</v>
      </c>
      <c r="EE188" s="138">
        <v>32912</v>
      </c>
      <c r="EF188" s="138">
        <v>35705</v>
      </c>
      <c r="EG188" s="138">
        <v>35598</v>
      </c>
      <c r="EH188" s="138"/>
      <c r="EI188" s="138"/>
      <c r="EJ188" s="138"/>
      <c r="EK188" s="3">
        <v>-8006</v>
      </c>
      <c r="EL188" s="138">
        <v>488</v>
      </c>
      <c r="EM188" s="138">
        <v>101</v>
      </c>
      <c r="EN188" s="3">
        <v>-6532</v>
      </c>
      <c r="EO188" s="138">
        <v>44</v>
      </c>
      <c r="EP188" s="138">
        <v>410</v>
      </c>
      <c r="EQ188" s="3">
        <v>-5506</v>
      </c>
      <c r="ER188" s="138">
        <v>20</v>
      </c>
      <c r="ES188" s="138">
        <v>283</v>
      </c>
      <c r="ET188" s="163">
        <v>7000</v>
      </c>
      <c r="EU188" s="163">
        <v>-1100</v>
      </c>
      <c r="EV188" s="138">
        <v>7000</v>
      </c>
      <c r="EW188" s="138">
        <v>3000</v>
      </c>
      <c r="EX188" s="138"/>
      <c r="EY188" s="138">
        <v>5000</v>
      </c>
      <c r="EZ188" s="138">
        <v>14640</v>
      </c>
      <c r="FA188" s="138">
        <v>11286</v>
      </c>
      <c r="FB188" s="138">
        <v>3354</v>
      </c>
      <c r="FC188" s="138">
        <v>852</v>
      </c>
      <c r="FD188" s="138">
        <v>22306</v>
      </c>
      <c r="FE188" s="138">
        <v>15254</v>
      </c>
      <c r="FF188" s="138">
        <v>7052</v>
      </c>
      <c r="FG188" s="138">
        <v>1986</v>
      </c>
      <c r="FH188" s="138">
        <v>25463</v>
      </c>
      <c r="FI188" s="138">
        <v>6987</v>
      </c>
      <c r="FJ188" s="138">
        <v>18476</v>
      </c>
      <c r="FK188" s="138">
        <v>1946</v>
      </c>
      <c r="FL188" s="147">
        <v>2044</v>
      </c>
      <c r="FM188" s="147">
        <v>2876.965265082267</v>
      </c>
      <c r="FO188" s="181">
        <f t="shared" si="9"/>
        <v>1456.6341463414635</v>
      </c>
      <c r="FP188" s="179">
        <f t="shared" si="8"/>
        <v>132.78342263823734</v>
      </c>
      <c r="FR188" s="184"/>
      <c r="FV188" s="184">
        <v>1465</v>
      </c>
      <c r="FW188" s="2">
        <f t="shared" si="10"/>
        <v>-1465</v>
      </c>
    </row>
    <row r="189" spans="1:179" ht="12.75">
      <c r="A189" s="82">
        <v>583</v>
      </c>
      <c r="B189" s="80" t="s">
        <v>182</v>
      </c>
      <c r="C189" s="191">
        <v>973</v>
      </c>
      <c r="D189" s="146"/>
      <c r="E189" s="150">
        <v>1.513184584178499</v>
      </c>
      <c r="F189" s="150">
        <v>47</v>
      </c>
      <c r="G189" s="151">
        <v>-2679</v>
      </c>
      <c r="H189" s="152"/>
      <c r="I189" s="152"/>
      <c r="J189" s="152"/>
      <c r="K189" s="150">
        <v>59.9</v>
      </c>
      <c r="L189" s="151">
        <v>1255</v>
      </c>
      <c r="M189" s="151">
        <v>46</v>
      </c>
      <c r="N189" s="154">
        <v>9930.11305241521</v>
      </c>
      <c r="O189" s="146">
        <v>3200</v>
      </c>
      <c r="P189" s="139">
        <v>1558</v>
      </c>
      <c r="Q189" s="139">
        <v>8511</v>
      </c>
      <c r="R189" s="139">
        <v>-6953</v>
      </c>
      <c r="S189" s="146">
        <v>4280</v>
      </c>
      <c r="T189" s="139">
        <v>3362</v>
      </c>
      <c r="U189" s="160"/>
      <c r="W189" s="138">
        <v>-18</v>
      </c>
      <c r="X189" s="138">
        <v>15</v>
      </c>
      <c r="Y189" s="139">
        <v>686</v>
      </c>
      <c r="Z189" s="138">
        <v>342</v>
      </c>
      <c r="AC189" s="139">
        <v>344</v>
      </c>
      <c r="AG189" s="139">
        <v>344</v>
      </c>
      <c r="AH189" s="139">
        <v>2349</v>
      </c>
      <c r="AI189" s="139">
        <v>515</v>
      </c>
      <c r="AJ189" s="176"/>
      <c r="AK189" s="138">
        <v>478</v>
      </c>
      <c r="AL189" s="151">
        <v>-433</v>
      </c>
      <c r="AM189" s="151">
        <v>114</v>
      </c>
      <c r="AN189" s="146">
        <v>4280</v>
      </c>
      <c r="AO189" s="139">
        <v>2542</v>
      </c>
      <c r="AP189" s="139">
        <v>376</v>
      </c>
      <c r="AQ189" s="139">
        <v>1362</v>
      </c>
      <c r="AR189" s="114">
        <v>20.5</v>
      </c>
      <c r="AS189" s="152"/>
      <c r="AT189" s="138">
        <v>14</v>
      </c>
      <c r="AU189" s="191">
        <v>963</v>
      </c>
      <c r="AV189" s="146"/>
      <c r="AW189" s="150">
        <v>0.9979838709677419</v>
      </c>
      <c r="AX189" s="150">
        <v>44</v>
      </c>
      <c r="AY189" s="151">
        <v>-2828</v>
      </c>
      <c r="AZ189" s="152"/>
      <c r="BA189" s="152"/>
      <c r="BB189" s="152"/>
      <c r="BC189" s="150">
        <v>61.6</v>
      </c>
      <c r="BD189" s="151">
        <v>923</v>
      </c>
      <c r="BE189" s="151">
        <v>33</v>
      </c>
      <c r="BF189" s="154">
        <v>10352.02492211838</v>
      </c>
      <c r="BG189" s="146">
        <v>3419</v>
      </c>
      <c r="BH189" s="139">
        <v>1422</v>
      </c>
      <c r="BI189" s="139">
        <v>8878</v>
      </c>
      <c r="BJ189" s="139">
        <v>-7456</v>
      </c>
      <c r="BK189" s="146">
        <v>4030</v>
      </c>
      <c r="BL189" s="146">
        <v>3870</v>
      </c>
      <c r="BM189" s="160"/>
      <c r="BO189" s="138">
        <v>-25</v>
      </c>
      <c r="BP189" s="138">
        <v>12</v>
      </c>
      <c r="BQ189" s="139">
        <v>431</v>
      </c>
      <c r="BR189" s="138">
        <v>348</v>
      </c>
      <c r="BU189" s="139">
        <v>83</v>
      </c>
      <c r="BY189" s="138">
        <v>83</v>
      </c>
      <c r="BZ189" s="139">
        <v>2432</v>
      </c>
      <c r="CA189" s="139">
        <v>388</v>
      </c>
      <c r="CB189" s="176"/>
      <c r="CC189" s="138">
        <v>5</v>
      </c>
      <c r="CD189" s="151">
        <v>-432</v>
      </c>
      <c r="CE189" s="151">
        <v>-105</v>
      </c>
      <c r="CF189" s="138">
        <v>4030</v>
      </c>
      <c r="CG189" s="139">
        <v>2357</v>
      </c>
      <c r="CH189" s="139">
        <v>219</v>
      </c>
      <c r="CI189" s="139">
        <v>1454</v>
      </c>
      <c r="CJ189" s="114">
        <v>19.75</v>
      </c>
      <c r="CK189" s="152"/>
      <c r="CL189" s="138">
        <v>29</v>
      </c>
      <c r="CM189" s="190">
        <v>966</v>
      </c>
      <c r="CN189" s="146"/>
      <c r="CO189" s="150">
        <v>0.487964989059081</v>
      </c>
      <c r="CP189" s="150">
        <v>42.30172681211871</v>
      </c>
      <c r="CQ189" s="151">
        <v>-3236.0248447204967</v>
      </c>
      <c r="CR189" s="152"/>
      <c r="CS189" s="152"/>
      <c r="CT189" s="152"/>
      <c r="CU189" s="150">
        <v>61.31440685777491</v>
      </c>
      <c r="CV189" s="151">
        <v>626.2939958592133</v>
      </c>
      <c r="CW189" s="151">
        <v>21.354317764239433</v>
      </c>
      <c r="CX189" s="154">
        <v>10704.968944099379</v>
      </c>
      <c r="CY189" s="146">
        <v>3596</v>
      </c>
      <c r="CZ189" s="139">
        <v>1445</v>
      </c>
      <c r="DA189" s="139">
        <v>9466</v>
      </c>
      <c r="DB189" s="139">
        <v>-8021</v>
      </c>
      <c r="DC189" s="146">
        <v>4297</v>
      </c>
      <c r="DD189" s="146">
        <v>3929</v>
      </c>
      <c r="DE189" s="160"/>
      <c r="DG189" s="138">
        <v>-28</v>
      </c>
      <c r="DH189" s="138">
        <v>10</v>
      </c>
      <c r="DI189" s="139">
        <v>187</v>
      </c>
      <c r="DJ189" s="138">
        <v>345</v>
      </c>
      <c r="DM189" s="139">
        <v>-158</v>
      </c>
      <c r="DQ189" s="138">
        <v>-158</v>
      </c>
      <c r="DR189" s="139">
        <v>2274</v>
      </c>
      <c r="DS189" s="139">
        <v>141</v>
      </c>
      <c r="DT189" s="176"/>
      <c r="DU189" s="138">
        <v>-20</v>
      </c>
      <c r="DV189" s="151">
        <v>-421</v>
      </c>
      <c r="DW189" s="138">
        <v>-273</v>
      </c>
      <c r="DX189" s="138">
        <v>4297</v>
      </c>
      <c r="DY189" s="146">
        <v>2518</v>
      </c>
      <c r="DZ189" s="196">
        <v>252</v>
      </c>
      <c r="EA189" s="146">
        <v>1527</v>
      </c>
      <c r="EB189" s="114">
        <v>19.5</v>
      </c>
      <c r="EC189" s="152"/>
      <c r="ED189" s="138">
        <v>202</v>
      </c>
      <c r="EE189" s="138">
        <v>4364</v>
      </c>
      <c r="EF189" s="138">
        <v>4466</v>
      </c>
      <c r="EG189" s="138">
        <v>4869</v>
      </c>
      <c r="EH189" s="138"/>
      <c r="EI189" s="138"/>
      <c r="EJ189" s="138"/>
      <c r="EK189" s="3">
        <v>-657</v>
      </c>
      <c r="EL189" s="138">
        <v>130</v>
      </c>
      <c r="EM189" s="138">
        <v>126</v>
      </c>
      <c r="EN189" s="3">
        <v>-572</v>
      </c>
      <c r="EO189" s="138">
        <v>58</v>
      </c>
      <c r="EP189" s="138">
        <v>21</v>
      </c>
      <c r="EQ189" s="3">
        <v>-414</v>
      </c>
      <c r="ET189" s="163">
        <v>306</v>
      </c>
      <c r="EU189" s="163"/>
      <c r="EV189" s="138">
        <v>34</v>
      </c>
      <c r="EW189" s="138"/>
      <c r="EX189" s="138">
        <v>300</v>
      </c>
      <c r="EY189" s="138"/>
      <c r="EZ189" s="138">
        <v>3357</v>
      </c>
      <c r="FA189" s="138">
        <v>2925</v>
      </c>
      <c r="FB189" s="138">
        <v>432</v>
      </c>
      <c r="FC189" s="138">
        <v>2432</v>
      </c>
      <c r="FD189" s="138">
        <v>2959</v>
      </c>
      <c r="FE189" s="138">
        <v>2553</v>
      </c>
      <c r="FF189" s="138">
        <v>406</v>
      </c>
      <c r="FG189" s="138">
        <v>2447</v>
      </c>
      <c r="FH189" s="138">
        <v>2838</v>
      </c>
      <c r="FI189" s="138">
        <v>2435</v>
      </c>
      <c r="FJ189" s="138">
        <v>403</v>
      </c>
      <c r="FK189" s="138">
        <v>2475</v>
      </c>
      <c r="FL189" s="147">
        <v>7370</v>
      </c>
      <c r="FM189" s="147">
        <v>6952.232606438214</v>
      </c>
      <c r="FO189" s="181">
        <f t="shared" si="9"/>
        <v>129.12820512820514</v>
      </c>
      <c r="FP189" s="179">
        <f t="shared" si="8"/>
        <v>133.67309019482934</v>
      </c>
      <c r="FR189" s="184"/>
      <c r="FV189" s="184">
        <v>433</v>
      </c>
      <c r="FW189" s="2">
        <f t="shared" si="10"/>
        <v>-433</v>
      </c>
    </row>
    <row r="190" spans="1:179" ht="12.75">
      <c r="A190" s="82">
        <v>854</v>
      </c>
      <c r="B190" s="80" t="s">
        <v>265</v>
      </c>
      <c r="C190" s="191">
        <v>3912</v>
      </c>
      <c r="D190" s="146"/>
      <c r="E190" s="150">
        <v>2.910344827586207</v>
      </c>
      <c r="F190" s="150">
        <v>26.3</v>
      </c>
      <c r="G190" s="151">
        <v>-709</v>
      </c>
      <c r="H190" s="152"/>
      <c r="I190" s="152"/>
      <c r="J190" s="152"/>
      <c r="K190" s="150">
        <v>68.3</v>
      </c>
      <c r="L190" s="151">
        <v>993</v>
      </c>
      <c r="M190" s="151">
        <v>50</v>
      </c>
      <c r="N190" s="154">
        <v>11914.110429447852</v>
      </c>
      <c r="O190" s="146">
        <v>14462</v>
      </c>
      <c r="P190" s="139">
        <v>4402</v>
      </c>
      <c r="Q190" s="139">
        <v>26241</v>
      </c>
      <c r="R190" s="139">
        <v>-21839</v>
      </c>
      <c r="S190" s="146">
        <v>10770</v>
      </c>
      <c r="T190" s="139">
        <v>14454</v>
      </c>
      <c r="U190" s="160"/>
      <c r="W190" s="138">
        <v>-169</v>
      </c>
      <c r="X190" s="138">
        <v>223</v>
      </c>
      <c r="Y190" s="139">
        <v>3439</v>
      </c>
      <c r="Z190" s="138">
        <v>864</v>
      </c>
      <c r="AC190" s="139">
        <v>2575</v>
      </c>
      <c r="AD190" s="139"/>
      <c r="AE190" s="138">
        <v>-1046</v>
      </c>
      <c r="AG190" s="139">
        <v>1529</v>
      </c>
      <c r="AH190" s="139">
        <v>4582</v>
      </c>
      <c r="AI190" s="139">
        <v>3442</v>
      </c>
      <c r="AJ190" s="176"/>
      <c r="AK190" s="139">
        <v>-70</v>
      </c>
      <c r="AL190" s="151">
        <v>-946</v>
      </c>
      <c r="AM190" s="151">
        <v>2620</v>
      </c>
      <c r="AN190" s="146">
        <v>10770</v>
      </c>
      <c r="AO190" s="139">
        <v>9236</v>
      </c>
      <c r="AP190" s="139">
        <v>1032</v>
      </c>
      <c r="AQ190" s="139">
        <v>502</v>
      </c>
      <c r="AR190" s="114">
        <v>20.25</v>
      </c>
      <c r="AS190" s="152"/>
      <c r="AT190" s="138">
        <v>10</v>
      </c>
      <c r="AU190" s="191">
        <v>3819</v>
      </c>
      <c r="AV190" s="146"/>
      <c r="AW190" s="150">
        <v>0.6909620991253644</v>
      </c>
      <c r="AX190" s="150">
        <v>25.6</v>
      </c>
      <c r="AY190" s="151">
        <v>-1142</v>
      </c>
      <c r="AZ190" s="152"/>
      <c r="BA190" s="152"/>
      <c r="BB190" s="152"/>
      <c r="BC190" s="150">
        <v>68.6</v>
      </c>
      <c r="BD190" s="151">
        <v>588</v>
      </c>
      <c r="BE190" s="151">
        <v>25</v>
      </c>
      <c r="BF190" s="154">
        <v>8741.03168368683</v>
      </c>
      <c r="BG190" s="146">
        <v>15619</v>
      </c>
      <c r="BH190" s="139">
        <v>4317</v>
      </c>
      <c r="BI190" s="139">
        <v>29080</v>
      </c>
      <c r="BJ190" s="139">
        <v>-24763</v>
      </c>
      <c r="BK190" s="146">
        <v>10623</v>
      </c>
      <c r="BL190" s="146">
        <v>14888</v>
      </c>
      <c r="BM190" s="160"/>
      <c r="BO190" s="138">
        <v>-102</v>
      </c>
      <c r="BP190" s="138">
        <v>164</v>
      </c>
      <c r="BQ190" s="139">
        <v>810</v>
      </c>
      <c r="BR190" s="138">
        <v>963</v>
      </c>
      <c r="BU190" s="139">
        <v>-153</v>
      </c>
      <c r="BV190" s="139"/>
      <c r="BW190" s="138">
        <v>400</v>
      </c>
      <c r="BY190" s="138">
        <v>247</v>
      </c>
      <c r="BZ190" s="139">
        <v>4429</v>
      </c>
      <c r="CA190" s="139">
        <v>818</v>
      </c>
      <c r="CB190" s="176"/>
      <c r="CC190" s="139">
        <v>96</v>
      </c>
      <c r="CD190" s="151">
        <v>-1234</v>
      </c>
      <c r="CE190" s="151">
        <v>-1531</v>
      </c>
      <c r="CF190" s="138">
        <v>10623</v>
      </c>
      <c r="CG190" s="139">
        <v>9402</v>
      </c>
      <c r="CH190" s="139">
        <v>712</v>
      </c>
      <c r="CI190" s="139">
        <v>509</v>
      </c>
      <c r="CJ190" s="114">
        <v>20.25</v>
      </c>
      <c r="CK190" s="152"/>
      <c r="CL190" s="138">
        <v>108</v>
      </c>
      <c r="CM190" s="190">
        <v>3739</v>
      </c>
      <c r="CN190" s="146"/>
      <c r="CO190" s="150">
        <v>1.5901060070671378</v>
      </c>
      <c r="CP190" s="150">
        <v>26.118843508588938</v>
      </c>
      <c r="CQ190" s="151">
        <v>-1375.501470981546</v>
      </c>
      <c r="CR190" s="152"/>
      <c r="CS190" s="152"/>
      <c r="CT190" s="152"/>
      <c r="CU190" s="150">
        <v>67.51864543438823</v>
      </c>
      <c r="CV190" s="151">
        <v>476.8654720513506</v>
      </c>
      <c r="CW190" s="151">
        <v>19.644862352088868</v>
      </c>
      <c r="CX190" s="154">
        <v>8860.123027547474</v>
      </c>
      <c r="CY190" s="146">
        <v>16011</v>
      </c>
      <c r="CZ190" s="139">
        <v>4636</v>
      </c>
      <c r="DA190" s="139">
        <v>30034</v>
      </c>
      <c r="DB190" s="139">
        <v>-25398</v>
      </c>
      <c r="DC190" s="146">
        <v>10957</v>
      </c>
      <c r="DD190" s="146">
        <v>15086</v>
      </c>
      <c r="DE190" s="160"/>
      <c r="DG190" s="138">
        <v>-58</v>
      </c>
      <c r="DH190" s="138">
        <v>249</v>
      </c>
      <c r="DI190" s="139">
        <v>836</v>
      </c>
      <c r="DJ190" s="138">
        <v>1072</v>
      </c>
      <c r="DM190" s="139">
        <v>-236</v>
      </c>
      <c r="DN190" s="139"/>
      <c r="DQ190" s="138">
        <v>-236</v>
      </c>
      <c r="DR190" s="139">
        <v>4415</v>
      </c>
      <c r="DS190" s="139">
        <v>848</v>
      </c>
      <c r="DT190" s="176"/>
      <c r="DU190" s="139">
        <v>-44</v>
      </c>
      <c r="DV190" s="151">
        <v>-502</v>
      </c>
      <c r="DW190" s="138">
        <v>-1041</v>
      </c>
      <c r="DX190" s="138">
        <v>10957</v>
      </c>
      <c r="DY190" s="146">
        <v>9755</v>
      </c>
      <c r="DZ190" s="196">
        <v>681</v>
      </c>
      <c r="EA190" s="146">
        <v>521</v>
      </c>
      <c r="EB190" s="114">
        <v>20.25</v>
      </c>
      <c r="EC190" s="152"/>
      <c r="ED190" s="138">
        <v>184</v>
      </c>
      <c r="EE190" s="138">
        <v>8423</v>
      </c>
      <c r="EF190" s="138">
        <v>9495</v>
      </c>
      <c r="EG190" s="138">
        <v>10140</v>
      </c>
      <c r="EH190" s="138"/>
      <c r="EI190" s="138"/>
      <c r="EJ190" s="138"/>
      <c r="EK190" s="3">
        <v>-1029</v>
      </c>
      <c r="EL190" s="138">
        <v>194</v>
      </c>
      <c r="EM190" s="138">
        <v>13</v>
      </c>
      <c r="EN190" s="3">
        <v>-2890</v>
      </c>
      <c r="EO190" s="138">
        <v>523</v>
      </c>
      <c r="EP190" s="138">
        <v>18</v>
      </c>
      <c r="EQ190" s="3">
        <v>-2525</v>
      </c>
      <c r="ER190" s="138">
        <v>626</v>
      </c>
      <c r="ES190" s="138">
        <v>10</v>
      </c>
      <c r="ET190" s="163"/>
      <c r="EU190" s="163"/>
      <c r="EV190" s="138"/>
      <c r="EW190" s="138"/>
      <c r="EX190" s="138">
        <v>1037</v>
      </c>
      <c r="EY190" s="138"/>
      <c r="EZ190" s="138">
        <v>4716</v>
      </c>
      <c r="FA190" s="138">
        <v>3997</v>
      </c>
      <c r="FB190" s="138">
        <v>719</v>
      </c>
      <c r="FC190" s="138">
        <v>65</v>
      </c>
      <c r="FD190" s="138">
        <v>3482</v>
      </c>
      <c r="FE190" s="138">
        <v>2983</v>
      </c>
      <c r="FF190" s="138">
        <v>499</v>
      </c>
      <c r="FG190" s="138">
        <v>65</v>
      </c>
      <c r="FH190" s="138">
        <v>4017</v>
      </c>
      <c r="FI190" s="138">
        <v>3639</v>
      </c>
      <c r="FJ190" s="138">
        <v>378</v>
      </c>
      <c r="FK190" s="138">
        <v>65</v>
      </c>
      <c r="FL190" s="147">
        <v>2149</v>
      </c>
      <c r="FM190" s="147">
        <v>2014.4016758313694</v>
      </c>
      <c r="FO190" s="181">
        <f t="shared" si="9"/>
        <v>481.7283950617284</v>
      </c>
      <c r="FP190" s="179">
        <f t="shared" si="8"/>
        <v>128.8388325920643</v>
      </c>
      <c r="FR190" s="184"/>
      <c r="FV190" s="184">
        <v>946</v>
      </c>
      <c r="FW190" s="2">
        <f t="shared" si="10"/>
        <v>-946</v>
      </c>
    </row>
    <row r="191" spans="1:179" ht="12.75">
      <c r="A191" s="82">
        <v>584</v>
      </c>
      <c r="B191" s="80" t="s">
        <v>183</v>
      </c>
      <c r="C191" s="191">
        <v>2910</v>
      </c>
      <c r="D191" s="146"/>
      <c r="E191" s="150">
        <v>1.1262939958592133</v>
      </c>
      <c r="F191" s="150">
        <v>38</v>
      </c>
      <c r="G191" s="151">
        <v>-447</v>
      </c>
      <c r="H191" s="152"/>
      <c r="I191" s="152"/>
      <c r="J191" s="152"/>
      <c r="K191" s="150">
        <v>63.2</v>
      </c>
      <c r="L191" s="151">
        <v>1798</v>
      </c>
      <c r="M191" s="151">
        <v>81</v>
      </c>
      <c r="N191" s="154">
        <v>7528.522336769759</v>
      </c>
      <c r="O191" s="146">
        <v>10064</v>
      </c>
      <c r="P191" s="139">
        <v>3240</v>
      </c>
      <c r="Q191" s="139">
        <v>19583</v>
      </c>
      <c r="R191" s="139">
        <v>-16343</v>
      </c>
      <c r="S191" s="146">
        <v>6721</v>
      </c>
      <c r="T191" s="139">
        <v>10633</v>
      </c>
      <c r="U191" s="160"/>
      <c r="W191" s="138">
        <v>108</v>
      </c>
      <c r="X191" s="138">
        <v>-242</v>
      </c>
      <c r="Y191" s="139">
        <v>877</v>
      </c>
      <c r="Z191" s="138">
        <v>867</v>
      </c>
      <c r="AC191" s="139">
        <v>10</v>
      </c>
      <c r="AD191" s="139">
        <v>6</v>
      </c>
      <c r="AG191" s="139">
        <v>16</v>
      </c>
      <c r="AH191" s="139">
        <v>1964</v>
      </c>
      <c r="AI191" s="139">
        <v>825</v>
      </c>
      <c r="AJ191" s="176"/>
      <c r="AK191" s="139">
        <v>-59</v>
      </c>
      <c r="AL191" s="151">
        <v>-755</v>
      </c>
      <c r="AM191" s="151">
        <v>-1560</v>
      </c>
      <c r="AN191" s="146">
        <v>6721</v>
      </c>
      <c r="AO191" s="139">
        <v>5794</v>
      </c>
      <c r="AP191" s="139">
        <v>670</v>
      </c>
      <c r="AQ191" s="139">
        <v>257</v>
      </c>
      <c r="AR191" s="114">
        <v>20</v>
      </c>
      <c r="AS191" s="152"/>
      <c r="AT191" s="138">
        <v>124</v>
      </c>
      <c r="AU191" s="191">
        <v>2923</v>
      </c>
      <c r="AV191" s="146"/>
      <c r="AW191" s="150">
        <v>1.4854227405247813</v>
      </c>
      <c r="AX191" s="150">
        <v>41.9</v>
      </c>
      <c r="AY191" s="151">
        <v>-952</v>
      </c>
      <c r="AZ191" s="152"/>
      <c r="BA191" s="152"/>
      <c r="BB191" s="152"/>
      <c r="BC191" s="150">
        <v>60.5</v>
      </c>
      <c r="BD191" s="151">
        <v>1591</v>
      </c>
      <c r="BE191" s="151">
        <v>71</v>
      </c>
      <c r="BF191" s="154">
        <v>8158.056790968184</v>
      </c>
      <c r="BG191" s="146">
        <v>10625</v>
      </c>
      <c r="BH191" s="139">
        <v>3582</v>
      </c>
      <c r="BI191" s="139">
        <v>20205</v>
      </c>
      <c r="BJ191" s="139">
        <v>-16623</v>
      </c>
      <c r="BK191" s="146">
        <v>6702</v>
      </c>
      <c r="BL191" s="146">
        <v>10758</v>
      </c>
      <c r="BM191" s="160"/>
      <c r="BO191" s="138">
        <v>101</v>
      </c>
      <c r="BP191" s="138">
        <v>33</v>
      </c>
      <c r="BQ191" s="139">
        <v>971</v>
      </c>
      <c r="BR191" s="138">
        <v>967</v>
      </c>
      <c r="BU191" s="139">
        <v>4</v>
      </c>
      <c r="BV191" s="139">
        <v>6</v>
      </c>
      <c r="BY191" s="138">
        <v>10</v>
      </c>
      <c r="BZ191" s="139">
        <v>1974</v>
      </c>
      <c r="CA191" s="139">
        <v>923</v>
      </c>
      <c r="CB191" s="176"/>
      <c r="CC191" s="139">
        <v>-100</v>
      </c>
      <c r="CD191" s="151">
        <v>-638</v>
      </c>
      <c r="CE191" s="151">
        <v>-1500</v>
      </c>
      <c r="CF191" s="138">
        <v>6702</v>
      </c>
      <c r="CG191" s="139">
        <v>5944</v>
      </c>
      <c r="CH191" s="139">
        <v>382</v>
      </c>
      <c r="CI191" s="139">
        <v>376</v>
      </c>
      <c r="CJ191" s="114">
        <v>20.5</v>
      </c>
      <c r="CK191" s="152"/>
      <c r="CL191" s="138">
        <v>60</v>
      </c>
      <c r="CM191" s="190">
        <v>2923</v>
      </c>
      <c r="CN191" s="146"/>
      <c r="CO191" s="150">
        <v>1.9305555555555556</v>
      </c>
      <c r="CP191" s="150">
        <v>41.91743119266055</v>
      </c>
      <c r="CQ191" s="151">
        <v>-1625.3848785494356</v>
      </c>
      <c r="CR191" s="152"/>
      <c r="CS191" s="152"/>
      <c r="CT191" s="152"/>
      <c r="CU191" s="150">
        <v>59.341980929473415</v>
      </c>
      <c r="CV191" s="151">
        <v>1039.0010263427985</v>
      </c>
      <c r="CW191" s="151">
        <v>42.888841600247616</v>
      </c>
      <c r="CX191" s="154">
        <v>8842.285323297981</v>
      </c>
      <c r="CY191" s="146">
        <v>10994</v>
      </c>
      <c r="CZ191" s="139">
        <v>3833</v>
      </c>
      <c r="DA191" s="139">
        <v>21247</v>
      </c>
      <c r="DB191" s="139">
        <v>-17414</v>
      </c>
      <c r="DC191" s="146">
        <v>6859</v>
      </c>
      <c r="DD191" s="146">
        <v>11108</v>
      </c>
      <c r="DE191" s="160"/>
      <c r="DG191" s="138">
        <v>382</v>
      </c>
      <c r="DH191" s="138">
        <v>9</v>
      </c>
      <c r="DI191" s="139">
        <v>944</v>
      </c>
      <c r="DJ191" s="138">
        <v>1121</v>
      </c>
      <c r="DM191" s="139">
        <v>-177</v>
      </c>
      <c r="DN191" s="139">
        <v>6</v>
      </c>
      <c r="DQ191" s="138">
        <v>-171</v>
      </c>
      <c r="DR191" s="139">
        <v>1802</v>
      </c>
      <c r="DS191" s="139">
        <v>943</v>
      </c>
      <c r="DT191" s="176"/>
      <c r="DU191" s="139">
        <v>33</v>
      </c>
      <c r="DV191" s="151">
        <v>-475</v>
      </c>
      <c r="DW191" s="138">
        <v>-1998</v>
      </c>
      <c r="DX191" s="138">
        <v>6859</v>
      </c>
      <c r="DY191" s="146">
        <v>6041</v>
      </c>
      <c r="DZ191" s="196">
        <v>421</v>
      </c>
      <c r="EA191" s="146">
        <v>397</v>
      </c>
      <c r="EB191" s="114">
        <v>20.5</v>
      </c>
      <c r="EC191" s="152"/>
      <c r="ED191" s="138">
        <v>128</v>
      </c>
      <c r="EE191" s="138">
        <v>6965</v>
      </c>
      <c r="EF191" s="138">
        <v>7047</v>
      </c>
      <c r="EG191" s="138">
        <v>7501</v>
      </c>
      <c r="EH191" s="138"/>
      <c r="EI191" s="138"/>
      <c r="EJ191" s="138"/>
      <c r="EK191" s="3">
        <v>-3005</v>
      </c>
      <c r="EL191" s="138">
        <v>542</v>
      </c>
      <c r="EM191" s="138">
        <v>78</v>
      </c>
      <c r="EN191" s="3">
        <v>-2932</v>
      </c>
      <c r="EO191" s="138">
        <v>442</v>
      </c>
      <c r="EP191" s="138">
        <v>67</v>
      </c>
      <c r="EQ191" s="3">
        <v>-4084</v>
      </c>
      <c r="ER191" s="138">
        <v>851</v>
      </c>
      <c r="ES191" s="138">
        <v>292</v>
      </c>
      <c r="ET191" s="163"/>
      <c r="EU191" s="163">
        <v>2543</v>
      </c>
      <c r="EV191" s="138"/>
      <c r="EW191" s="138">
        <v>2000</v>
      </c>
      <c r="EX191" s="138"/>
      <c r="EY191" s="138">
        <v>500</v>
      </c>
      <c r="EZ191" s="138">
        <v>5078</v>
      </c>
      <c r="FA191" s="138">
        <v>1440</v>
      </c>
      <c r="FB191" s="138">
        <v>3638</v>
      </c>
      <c r="FC191" s="138">
        <v>0</v>
      </c>
      <c r="FD191" s="138">
        <v>6440</v>
      </c>
      <c r="FE191" s="138">
        <v>965</v>
      </c>
      <c r="FF191" s="138">
        <v>5475</v>
      </c>
      <c r="FG191" s="138">
        <v>0</v>
      </c>
      <c r="FH191" s="138">
        <v>6465</v>
      </c>
      <c r="FI191" s="138">
        <v>601</v>
      </c>
      <c r="FJ191" s="138">
        <v>5864</v>
      </c>
      <c r="FK191" s="138">
        <v>0</v>
      </c>
      <c r="FL191" s="147">
        <v>2393</v>
      </c>
      <c r="FM191" s="147">
        <v>2926.4454327745466</v>
      </c>
      <c r="FO191" s="181">
        <f t="shared" si="9"/>
        <v>294.6829268292683</v>
      </c>
      <c r="FP191" s="179">
        <f t="shared" si="8"/>
        <v>100.81523326351979</v>
      </c>
      <c r="FR191" s="184"/>
      <c r="FV191" s="184">
        <v>755</v>
      </c>
      <c r="FW191" s="2">
        <f t="shared" si="10"/>
        <v>-755</v>
      </c>
    </row>
    <row r="192" spans="1:179" ht="12.75">
      <c r="A192" s="82">
        <v>588</v>
      </c>
      <c r="B192" s="80" t="s">
        <v>184</v>
      </c>
      <c r="C192" s="191">
        <v>1910</v>
      </c>
      <c r="D192" s="146"/>
      <c r="E192" s="150">
        <v>2.5728900255754477</v>
      </c>
      <c r="F192" s="150">
        <v>47.8</v>
      </c>
      <c r="G192" s="151">
        <v>-1883</v>
      </c>
      <c r="H192" s="152"/>
      <c r="I192" s="152"/>
      <c r="J192" s="152"/>
      <c r="K192" s="150">
        <v>52.3</v>
      </c>
      <c r="L192" s="151">
        <v>939</v>
      </c>
      <c r="M192" s="151">
        <v>50</v>
      </c>
      <c r="N192" s="154">
        <v>8115.706806282722</v>
      </c>
      <c r="O192" s="146">
        <v>5890</v>
      </c>
      <c r="P192" s="139">
        <v>2128</v>
      </c>
      <c r="Q192" s="139">
        <v>11765</v>
      </c>
      <c r="R192" s="139">
        <v>-9637</v>
      </c>
      <c r="S192" s="146">
        <v>4914</v>
      </c>
      <c r="T192" s="139">
        <v>5618</v>
      </c>
      <c r="U192" s="160"/>
      <c r="W192" s="138">
        <v>-60</v>
      </c>
      <c r="X192" s="138">
        <v>85</v>
      </c>
      <c r="Y192" s="139">
        <v>920</v>
      </c>
      <c r="Z192" s="138">
        <v>441</v>
      </c>
      <c r="AB192" s="139">
        <v>94</v>
      </c>
      <c r="AC192" s="139">
        <v>385</v>
      </c>
      <c r="AD192" s="139"/>
      <c r="AG192" s="139">
        <v>385</v>
      </c>
      <c r="AH192" s="139">
        <v>1249</v>
      </c>
      <c r="AI192" s="139">
        <v>784</v>
      </c>
      <c r="AJ192" s="176"/>
      <c r="AK192" s="138">
        <v>-3</v>
      </c>
      <c r="AL192" s="151">
        <v>-305</v>
      </c>
      <c r="AM192" s="151">
        <v>-61</v>
      </c>
      <c r="AN192" s="146">
        <v>4914</v>
      </c>
      <c r="AO192" s="139">
        <v>3733</v>
      </c>
      <c r="AP192" s="139">
        <v>680</v>
      </c>
      <c r="AQ192" s="139">
        <v>501</v>
      </c>
      <c r="AR192" s="114">
        <v>20</v>
      </c>
      <c r="AS192" s="152"/>
      <c r="AT192" s="138">
        <v>44</v>
      </c>
      <c r="AU192" s="191">
        <v>1857</v>
      </c>
      <c r="AV192" s="146"/>
      <c r="AW192" s="150">
        <v>0.6286549707602339</v>
      </c>
      <c r="AX192" s="150">
        <v>48.8</v>
      </c>
      <c r="AY192" s="151">
        <v>-2265</v>
      </c>
      <c r="AZ192" s="152"/>
      <c r="BA192" s="152"/>
      <c r="BB192" s="152"/>
      <c r="BC192" s="150">
        <v>50.3</v>
      </c>
      <c r="BD192" s="151">
        <v>737</v>
      </c>
      <c r="BE192" s="151">
        <v>37</v>
      </c>
      <c r="BF192" s="154">
        <v>7355.9504577275175</v>
      </c>
      <c r="BG192" s="146">
        <v>5861</v>
      </c>
      <c r="BH192" s="139">
        <v>1963</v>
      </c>
      <c r="BI192" s="139">
        <v>12626</v>
      </c>
      <c r="BJ192" s="139">
        <v>-10663</v>
      </c>
      <c r="BK192" s="146">
        <v>4832</v>
      </c>
      <c r="BL192" s="146">
        <v>5979</v>
      </c>
      <c r="BM192" s="160"/>
      <c r="BO192" s="138">
        <v>-48</v>
      </c>
      <c r="BP192" s="138">
        <v>59</v>
      </c>
      <c r="BQ192" s="139">
        <v>159</v>
      </c>
      <c r="BR192" s="138">
        <v>508</v>
      </c>
      <c r="BT192" s="139"/>
      <c r="BU192" s="139">
        <v>-349</v>
      </c>
      <c r="BV192" s="139"/>
      <c r="BY192" s="138">
        <v>-349</v>
      </c>
      <c r="BZ192" s="139">
        <v>900</v>
      </c>
      <c r="CA192" s="139">
        <v>139</v>
      </c>
      <c r="CB192" s="176"/>
      <c r="CC192" s="138">
        <v>11</v>
      </c>
      <c r="CD192" s="151">
        <v>-286</v>
      </c>
      <c r="CE192" s="151">
        <v>-599</v>
      </c>
      <c r="CF192" s="138">
        <v>4832</v>
      </c>
      <c r="CG192" s="139">
        <v>3870</v>
      </c>
      <c r="CH192" s="139">
        <v>431</v>
      </c>
      <c r="CI192" s="139">
        <v>531</v>
      </c>
      <c r="CJ192" s="114">
        <v>20</v>
      </c>
      <c r="CK192" s="152"/>
      <c r="CL192" s="138">
        <v>200</v>
      </c>
      <c r="CM192" s="190">
        <v>1842</v>
      </c>
      <c r="CN192" s="146"/>
      <c r="CO192" s="150">
        <v>0.5189393939393939</v>
      </c>
      <c r="CP192" s="150">
        <v>50.00753693096171</v>
      </c>
      <c r="CQ192" s="151">
        <v>-2674.8099891422366</v>
      </c>
      <c r="CR192" s="152"/>
      <c r="CS192" s="152"/>
      <c r="CT192" s="152"/>
      <c r="CU192" s="150">
        <v>46.7005076142132</v>
      </c>
      <c r="CV192" s="151">
        <v>487.5135722041259</v>
      </c>
      <c r="CW192" s="151">
        <v>22.511675824175825</v>
      </c>
      <c r="CX192" s="154">
        <v>7904.451682953311</v>
      </c>
      <c r="CY192" s="146">
        <v>5986</v>
      </c>
      <c r="CZ192" s="139">
        <v>2337</v>
      </c>
      <c r="DA192" s="139">
        <v>13271</v>
      </c>
      <c r="DB192" s="139">
        <v>-10934</v>
      </c>
      <c r="DC192" s="146">
        <v>4984</v>
      </c>
      <c r="DD192" s="146">
        <v>6006</v>
      </c>
      <c r="DE192" s="160"/>
      <c r="DG192" s="138">
        <v>-23</v>
      </c>
      <c r="DH192" s="138">
        <v>78</v>
      </c>
      <c r="DI192" s="139">
        <v>111</v>
      </c>
      <c r="DJ192" s="138">
        <v>559</v>
      </c>
      <c r="DL192" s="139"/>
      <c r="DM192" s="139">
        <v>-448</v>
      </c>
      <c r="DN192" s="139"/>
      <c r="DQ192" s="138">
        <v>-448</v>
      </c>
      <c r="DR192" s="139">
        <v>451</v>
      </c>
      <c r="DS192" s="139">
        <v>10</v>
      </c>
      <c r="DT192" s="176"/>
      <c r="DU192" s="138">
        <v>-201</v>
      </c>
      <c r="DV192" s="151">
        <v>-238</v>
      </c>
      <c r="DW192" s="138">
        <v>-708</v>
      </c>
      <c r="DX192" s="138">
        <v>4984</v>
      </c>
      <c r="DY192" s="146">
        <v>3890</v>
      </c>
      <c r="DZ192" s="196">
        <v>551</v>
      </c>
      <c r="EA192" s="146">
        <v>543</v>
      </c>
      <c r="EB192" s="114">
        <v>20</v>
      </c>
      <c r="EC192" s="152"/>
      <c r="ED192" s="138">
        <v>258</v>
      </c>
      <c r="EE192" s="138">
        <v>4495</v>
      </c>
      <c r="EF192" s="138">
        <v>5230</v>
      </c>
      <c r="EG192" s="138">
        <v>5813</v>
      </c>
      <c r="EH192" s="138"/>
      <c r="EI192" s="138"/>
      <c r="EJ192" s="138"/>
      <c r="EK192" s="3">
        <v>-1084</v>
      </c>
      <c r="EL192" s="138">
        <v>72</v>
      </c>
      <c r="EM192" s="138">
        <v>167</v>
      </c>
      <c r="EN192" s="3">
        <v>-801</v>
      </c>
      <c r="EO192" s="138">
        <v>37</v>
      </c>
      <c r="EP192" s="138">
        <v>26</v>
      </c>
      <c r="EQ192" s="3">
        <v>-1063</v>
      </c>
      <c r="ER192" s="138">
        <v>230</v>
      </c>
      <c r="ES192" s="138">
        <v>115</v>
      </c>
      <c r="ET192" s="163">
        <v>500</v>
      </c>
      <c r="EU192" s="163"/>
      <c r="EV192" s="138">
        <v>350</v>
      </c>
      <c r="EW192" s="138"/>
      <c r="EX192" s="138">
        <v>600</v>
      </c>
      <c r="EY192" s="138"/>
      <c r="EZ192" s="138">
        <v>4373</v>
      </c>
      <c r="FA192" s="138">
        <v>4088</v>
      </c>
      <c r="FB192" s="138">
        <v>285</v>
      </c>
      <c r="FC192" s="138">
        <v>233</v>
      </c>
      <c r="FD192" s="138">
        <v>4438</v>
      </c>
      <c r="FE192" s="138">
        <v>4200</v>
      </c>
      <c r="FF192" s="138">
        <v>238</v>
      </c>
      <c r="FG192" s="138">
        <v>230</v>
      </c>
      <c r="FH192" s="138">
        <v>4799</v>
      </c>
      <c r="FI192" s="138">
        <v>4563</v>
      </c>
      <c r="FJ192" s="138">
        <v>236</v>
      </c>
      <c r="FK192" s="138">
        <v>246</v>
      </c>
      <c r="FL192" s="147">
        <v>3449</v>
      </c>
      <c r="FM192" s="147">
        <v>3567.5821217016696</v>
      </c>
      <c r="FO192" s="181">
        <f t="shared" si="9"/>
        <v>194.5</v>
      </c>
      <c r="FP192" s="179">
        <f t="shared" si="8"/>
        <v>105.59174809989143</v>
      </c>
      <c r="FR192" s="184"/>
      <c r="FV192" s="184">
        <v>305</v>
      </c>
      <c r="FW192" s="2">
        <f t="shared" si="10"/>
        <v>-305</v>
      </c>
    </row>
    <row r="193" spans="1:179" ht="12.75">
      <c r="A193" s="82">
        <v>592</v>
      </c>
      <c r="B193" s="80" t="s">
        <v>185</v>
      </c>
      <c r="C193" s="191">
        <v>4065</v>
      </c>
      <c r="D193" s="146"/>
      <c r="E193" s="150">
        <v>1.040785498489426</v>
      </c>
      <c r="F193" s="150">
        <v>47.2</v>
      </c>
      <c r="G193" s="151">
        <v>-1201</v>
      </c>
      <c r="H193" s="152"/>
      <c r="I193" s="152"/>
      <c r="J193" s="152"/>
      <c r="K193" s="150">
        <v>62.6</v>
      </c>
      <c r="L193" s="151">
        <v>1232</v>
      </c>
      <c r="M193" s="151">
        <v>67</v>
      </c>
      <c r="N193" s="154">
        <v>6091.020910209102</v>
      </c>
      <c r="O193" s="146">
        <v>9479</v>
      </c>
      <c r="P193" s="139">
        <v>3580</v>
      </c>
      <c r="Q193" s="139">
        <v>23046</v>
      </c>
      <c r="R193" s="139">
        <v>-19466</v>
      </c>
      <c r="S193" s="146">
        <v>10501</v>
      </c>
      <c r="T193" s="139">
        <v>9671</v>
      </c>
      <c r="U193" s="160"/>
      <c r="W193" s="138">
        <v>-147</v>
      </c>
      <c r="X193" s="138">
        <v>64</v>
      </c>
      <c r="Y193" s="139">
        <v>623</v>
      </c>
      <c r="Z193" s="138">
        <v>1062</v>
      </c>
      <c r="AC193" s="139">
        <v>-439</v>
      </c>
      <c r="AD193" s="139">
        <v>7</v>
      </c>
      <c r="AG193" s="139">
        <v>-432</v>
      </c>
      <c r="AH193" s="139">
        <v>9235</v>
      </c>
      <c r="AI193" s="139">
        <v>184</v>
      </c>
      <c r="AJ193" s="176"/>
      <c r="AK193" s="138">
        <v>-597</v>
      </c>
      <c r="AL193" s="151">
        <v>-596</v>
      </c>
      <c r="AM193" s="151">
        <v>-2054</v>
      </c>
      <c r="AN193" s="146">
        <v>10501</v>
      </c>
      <c r="AO193" s="139">
        <v>9256</v>
      </c>
      <c r="AP193" s="139">
        <v>736</v>
      </c>
      <c r="AQ193" s="139">
        <v>509</v>
      </c>
      <c r="AR193" s="114">
        <v>20</v>
      </c>
      <c r="AS193" s="152"/>
      <c r="AT193" s="138">
        <v>233</v>
      </c>
      <c r="AU193" s="191">
        <v>4095</v>
      </c>
      <c r="AV193" s="146"/>
      <c r="AW193" s="150">
        <v>-0.23268698060941828</v>
      </c>
      <c r="AX193" s="150">
        <v>50.1</v>
      </c>
      <c r="AY193" s="151">
        <v>-1565</v>
      </c>
      <c r="AZ193" s="152"/>
      <c r="BA193" s="152"/>
      <c r="BB193" s="152"/>
      <c r="BC193" s="150">
        <v>58.6</v>
      </c>
      <c r="BD193" s="151">
        <v>1256</v>
      </c>
      <c r="BE193" s="151">
        <v>69</v>
      </c>
      <c r="BF193" s="154">
        <v>6608.3028083028075</v>
      </c>
      <c r="BG193" s="146">
        <v>10216</v>
      </c>
      <c r="BH193" s="139">
        <v>3424</v>
      </c>
      <c r="BI193" s="139">
        <v>24701</v>
      </c>
      <c r="BJ193" s="139">
        <v>-21277</v>
      </c>
      <c r="BK193" s="146">
        <v>10839</v>
      </c>
      <c r="BL193" s="146">
        <v>10097</v>
      </c>
      <c r="BM193" s="160"/>
      <c r="BO193" s="138">
        <v>-150</v>
      </c>
      <c r="BP193" s="138">
        <v>172</v>
      </c>
      <c r="BQ193" s="139">
        <v>-319</v>
      </c>
      <c r="BR193" s="138">
        <v>1142</v>
      </c>
      <c r="BU193" s="139">
        <v>-1461</v>
      </c>
      <c r="BV193" s="139">
        <v>7</v>
      </c>
      <c r="BY193" s="138">
        <v>-1454</v>
      </c>
      <c r="BZ193" s="139">
        <v>7782</v>
      </c>
      <c r="CA193" s="139">
        <v>-517</v>
      </c>
      <c r="CB193" s="176"/>
      <c r="CC193" s="138">
        <v>670</v>
      </c>
      <c r="CD193" s="151">
        <v>-571</v>
      </c>
      <c r="CE193" s="151">
        <v>-1607</v>
      </c>
      <c r="CF193" s="138">
        <v>10839</v>
      </c>
      <c r="CG193" s="139">
        <v>9720</v>
      </c>
      <c r="CH193" s="139">
        <v>443</v>
      </c>
      <c r="CI193" s="139">
        <v>676</v>
      </c>
      <c r="CJ193" s="114">
        <v>20.5</v>
      </c>
      <c r="CK193" s="152"/>
      <c r="CL193" s="138">
        <v>278</v>
      </c>
      <c r="CM193" s="190">
        <v>4125</v>
      </c>
      <c r="CN193" s="146"/>
      <c r="CO193" s="150">
        <v>0.65379113018598</v>
      </c>
      <c r="CP193" s="150">
        <v>48.688619295205086</v>
      </c>
      <c r="CQ193" s="151">
        <v>-1831.5151515151515</v>
      </c>
      <c r="CR193" s="152"/>
      <c r="CS193" s="152"/>
      <c r="CT193" s="152"/>
      <c r="CU193" s="150">
        <v>56.68979187314172</v>
      </c>
      <c r="CV193" s="151">
        <v>1065.6969696969695</v>
      </c>
      <c r="CW193" s="151">
        <v>57.29476879128727</v>
      </c>
      <c r="CX193" s="154">
        <v>6789.090909090909</v>
      </c>
      <c r="CY193" s="146">
        <v>10994</v>
      </c>
      <c r="CZ193" s="139">
        <v>3478</v>
      </c>
      <c r="DA193" s="139">
        <v>25787</v>
      </c>
      <c r="DB193" s="139">
        <v>-22309</v>
      </c>
      <c r="DC193" s="146">
        <v>11643</v>
      </c>
      <c r="DD193" s="146">
        <v>10844</v>
      </c>
      <c r="DE193" s="160"/>
      <c r="DG193" s="138">
        <v>-79</v>
      </c>
      <c r="DH193" s="138">
        <v>279</v>
      </c>
      <c r="DI193" s="139">
        <v>378</v>
      </c>
      <c r="DJ193" s="138">
        <v>1131</v>
      </c>
      <c r="DM193" s="139">
        <v>-753</v>
      </c>
      <c r="DN193" s="139">
        <v>7</v>
      </c>
      <c r="DQ193" s="138">
        <v>-746</v>
      </c>
      <c r="DR193" s="139">
        <v>7036</v>
      </c>
      <c r="DS193" s="139">
        <v>352</v>
      </c>
      <c r="DT193" s="176"/>
      <c r="DU193" s="138">
        <v>-44</v>
      </c>
      <c r="DV193" s="151">
        <v>-620</v>
      </c>
      <c r="DW193" s="138">
        <v>-1070</v>
      </c>
      <c r="DX193" s="138">
        <v>11643</v>
      </c>
      <c r="DY193" s="146">
        <v>10339</v>
      </c>
      <c r="DZ193" s="196">
        <v>543</v>
      </c>
      <c r="EA193" s="146">
        <v>761</v>
      </c>
      <c r="EB193" s="114">
        <v>21</v>
      </c>
      <c r="EC193" s="152"/>
      <c r="ED193" s="138">
        <v>248</v>
      </c>
      <c r="EE193" s="138">
        <v>10167</v>
      </c>
      <c r="EF193" s="138">
        <v>11167</v>
      </c>
      <c r="EG193" s="138">
        <v>11696</v>
      </c>
      <c r="EH193" s="138"/>
      <c r="EI193" s="138"/>
      <c r="EJ193" s="138"/>
      <c r="EK193" s="3">
        <v>-3437</v>
      </c>
      <c r="EL193" s="138">
        <v>562</v>
      </c>
      <c r="EM193" s="138">
        <v>637</v>
      </c>
      <c r="EN193" s="3">
        <v>-1604</v>
      </c>
      <c r="EO193" s="138">
        <v>5</v>
      </c>
      <c r="EP193" s="138">
        <v>509</v>
      </c>
      <c r="EQ193" s="3">
        <v>-1492</v>
      </c>
      <c r="ES193" s="138">
        <v>70</v>
      </c>
      <c r="ET193" s="163">
        <v>1600</v>
      </c>
      <c r="EU193" s="163">
        <v>1180</v>
      </c>
      <c r="EV193" s="138">
        <v>500</v>
      </c>
      <c r="EW193" s="138">
        <v>960</v>
      </c>
      <c r="EX193" s="138"/>
      <c r="EY193" s="138">
        <v>1010</v>
      </c>
      <c r="EZ193" s="138">
        <v>8300</v>
      </c>
      <c r="FA193" s="138">
        <v>6548</v>
      </c>
      <c r="FB193" s="138">
        <v>1752</v>
      </c>
      <c r="FC193" s="138">
        <v>40</v>
      </c>
      <c r="FD193" s="138">
        <v>9188</v>
      </c>
      <c r="FE193" s="138">
        <v>6428</v>
      </c>
      <c r="FF193" s="138">
        <v>2760</v>
      </c>
      <c r="FG193" s="138">
        <v>29</v>
      </c>
      <c r="FH193" s="138">
        <v>9577</v>
      </c>
      <c r="FI193" s="138">
        <v>5778</v>
      </c>
      <c r="FJ193" s="138">
        <v>3799</v>
      </c>
      <c r="FK193" s="138">
        <v>21</v>
      </c>
      <c r="FL193" s="147">
        <v>4226</v>
      </c>
      <c r="FM193" s="147">
        <v>4293.284493284493</v>
      </c>
      <c r="FO193" s="181">
        <f t="shared" si="9"/>
        <v>492.3333333333333</v>
      </c>
      <c r="FP193" s="179">
        <f t="shared" si="8"/>
        <v>119.35353535353535</v>
      </c>
      <c r="FR193" s="184"/>
      <c r="FV193" s="184">
        <v>596</v>
      </c>
      <c r="FW193" s="2">
        <f t="shared" si="10"/>
        <v>-596</v>
      </c>
    </row>
    <row r="194" spans="1:179" ht="12.75">
      <c r="A194" s="82">
        <v>593</v>
      </c>
      <c r="B194" s="80" t="s">
        <v>186</v>
      </c>
      <c r="C194" s="191">
        <v>19700</v>
      </c>
      <c r="D194" s="146"/>
      <c r="E194" s="150">
        <v>0.11607142857142858</v>
      </c>
      <c r="F194" s="150">
        <v>48.5</v>
      </c>
      <c r="G194" s="151">
        <v>-2624</v>
      </c>
      <c r="H194" s="152"/>
      <c r="I194" s="152"/>
      <c r="J194" s="152"/>
      <c r="K194" s="150">
        <v>51.4</v>
      </c>
      <c r="L194" s="151">
        <v>111</v>
      </c>
      <c r="M194" s="151">
        <v>6</v>
      </c>
      <c r="N194" s="154">
        <v>6422.33502538071</v>
      </c>
      <c r="O194" s="146">
        <v>52444</v>
      </c>
      <c r="P194" s="139">
        <v>21877</v>
      </c>
      <c r="Q194" s="139">
        <v>121788</v>
      </c>
      <c r="R194" s="139">
        <v>-99911</v>
      </c>
      <c r="S194" s="146">
        <v>58505</v>
      </c>
      <c r="T194" s="139">
        <v>42432</v>
      </c>
      <c r="U194" s="160"/>
      <c r="W194" s="138">
        <v>-866</v>
      </c>
      <c r="X194" s="138">
        <v>468</v>
      </c>
      <c r="Y194" s="139">
        <v>628</v>
      </c>
      <c r="Z194" s="138">
        <v>3740</v>
      </c>
      <c r="AC194" s="139">
        <v>-3112</v>
      </c>
      <c r="AD194" s="138">
        <v>35</v>
      </c>
      <c r="AF194" s="138">
        <v>437</v>
      </c>
      <c r="AG194" s="139">
        <v>-2640</v>
      </c>
      <c r="AH194" s="139">
        <v>4505</v>
      </c>
      <c r="AI194" s="139">
        <v>-870</v>
      </c>
      <c r="AJ194" s="176"/>
      <c r="AK194" s="139">
        <v>717</v>
      </c>
      <c r="AL194" s="151">
        <v>-6568</v>
      </c>
      <c r="AM194" s="151">
        <v>-5386</v>
      </c>
      <c r="AN194" s="146">
        <v>58505</v>
      </c>
      <c r="AO194" s="139">
        <v>50973</v>
      </c>
      <c r="AP194" s="139">
        <v>4875</v>
      </c>
      <c r="AQ194" s="139">
        <v>2657</v>
      </c>
      <c r="AR194" s="114">
        <v>19.75</v>
      </c>
      <c r="AS194" s="152"/>
      <c r="AT194" s="138">
        <v>275</v>
      </c>
      <c r="AU194" s="191">
        <v>19407</v>
      </c>
      <c r="AV194" s="146"/>
      <c r="AW194" s="150">
        <v>0.5067942318358292</v>
      </c>
      <c r="AX194" s="150">
        <v>52.4</v>
      </c>
      <c r="AY194" s="151">
        <v>-3072</v>
      </c>
      <c r="AZ194" s="152"/>
      <c r="BA194" s="152"/>
      <c r="BB194" s="152"/>
      <c r="BC194" s="150">
        <v>48.5</v>
      </c>
      <c r="BD194" s="151">
        <v>19</v>
      </c>
      <c r="BE194" s="151">
        <v>1</v>
      </c>
      <c r="BF194" s="154">
        <v>7239.707322100273</v>
      </c>
      <c r="BG194" s="146">
        <v>52913</v>
      </c>
      <c r="BH194" s="139">
        <v>21810</v>
      </c>
      <c r="BI194" s="139">
        <v>122383</v>
      </c>
      <c r="BJ194" s="139">
        <v>-100573</v>
      </c>
      <c r="BK194" s="146">
        <v>59574</v>
      </c>
      <c r="BL194" s="146">
        <v>44021</v>
      </c>
      <c r="BM194" s="160"/>
      <c r="BO194" s="138">
        <v>-685</v>
      </c>
      <c r="BP194" s="138">
        <v>541</v>
      </c>
      <c r="BQ194" s="139">
        <v>2878</v>
      </c>
      <c r="BR194" s="138">
        <v>4220</v>
      </c>
      <c r="BU194" s="139">
        <v>-1342</v>
      </c>
      <c r="BV194" s="138">
        <v>35</v>
      </c>
      <c r="BX194" s="138">
        <v>104</v>
      </c>
      <c r="BY194" s="138">
        <v>-1203</v>
      </c>
      <c r="BZ194" s="139">
        <v>3304</v>
      </c>
      <c r="CA194" s="139">
        <v>2722</v>
      </c>
      <c r="CB194" s="176"/>
      <c r="CC194" s="139">
        <v>28</v>
      </c>
      <c r="CD194" s="151">
        <v>-6435</v>
      </c>
      <c r="CE194" s="151">
        <v>-8217</v>
      </c>
      <c r="CF194" s="138">
        <v>59574</v>
      </c>
      <c r="CG194" s="139">
        <v>53300</v>
      </c>
      <c r="CH194" s="139">
        <v>3239</v>
      </c>
      <c r="CI194" s="139">
        <v>3035</v>
      </c>
      <c r="CJ194" s="114">
        <v>19.75</v>
      </c>
      <c r="CK194" s="152"/>
      <c r="CL194" s="138">
        <v>155</v>
      </c>
      <c r="CM194" s="190">
        <v>19288</v>
      </c>
      <c r="CN194" s="146"/>
      <c r="CO194" s="150">
        <v>0.10644779150448469</v>
      </c>
      <c r="CP194" s="150">
        <v>54.76660192982322</v>
      </c>
      <c r="CQ194" s="151">
        <v>-3372.926171712982</v>
      </c>
      <c r="CR194" s="152"/>
      <c r="CS194" s="152"/>
      <c r="CT194" s="152"/>
      <c r="CU194" s="150">
        <v>45.6294704574142</v>
      </c>
      <c r="CV194" s="151">
        <v>6.584404811281625</v>
      </c>
      <c r="CW194" s="151">
        <v>0.30466644758462047</v>
      </c>
      <c r="CX194" s="154">
        <v>7888.32434674409</v>
      </c>
      <c r="CY194" s="146">
        <v>53320</v>
      </c>
      <c r="CZ194" s="139">
        <v>22991</v>
      </c>
      <c r="DA194" s="139">
        <v>129979</v>
      </c>
      <c r="DB194" s="139">
        <v>-106988</v>
      </c>
      <c r="DC194" s="146">
        <v>62382</v>
      </c>
      <c r="DD194" s="146">
        <v>45097</v>
      </c>
      <c r="DE194" s="160"/>
      <c r="DG194" s="138">
        <v>-539</v>
      </c>
      <c r="DH194" s="138">
        <v>702</v>
      </c>
      <c r="DI194" s="139">
        <v>654</v>
      </c>
      <c r="DJ194" s="138">
        <v>5591</v>
      </c>
      <c r="DK194" s="138">
        <v>3015</v>
      </c>
      <c r="DM194" s="139">
        <v>-1922</v>
      </c>
      <c r="DN194" s="138">
        <v>35</v>
      </c>
      <c r="DP194" s="138">
        <v>283</v>
      </c>
      <c r="DQ194" s="138">
        <v>-1604</v>
      </c>
      <c r="DR194" s="139">
        <v>1699</v>
      </c>
      <c r="DS194" s="139">
        <v>365</v>
      </c>
      <c r="DT194" s="176"/>
      <c r="DU194" s="139">
        <v>-649</v>
      </c>
      <c r="DV194" s="151">
        <v>-11214</v>
      </c>
      <c r="DW194" s="138">
        <v>-5957</v>
      </c>
      <c r="DX194" s="138">
        <v>62382</v>
      </c>
      <c r="DY194" s="146">
        <v>55346</v>
      </c>
      <c r="DZ194" s="196">
        <v>3853</v>
      </c>
      <c r="EA194" s="146">
        <v>3183</v>
      </c>
      <c r="EB194" s="114">
        <v>20.5</v>
      </c>
      <c r="EC194" s="152"/>
      <c r="ED194" s="138">
        <v>264</v>
      </c>
      <c r="EE194" s="138">
        <v>53839</v>
      </c>
      <c r="EF194" s="138">
        <v>53768</v>
      </c>
      <c r="EG194" s="138">
        <v>59198</v>
      </c>
      <c r="EH194" s="138"/>
      <c r="EI194" s="138"/>
      <c r="EJ194" s="138"/>
      <c r="EK194" s="3">
        <v>-5628</v>
      </c>
      <c r="EL194" s="138">
        <v>11</v>
      </c>
      <c r="EM194" s="138">
        <v>1101</v>
      </c>
      <c r="EN194" s="3">
        <v>-11180</v>
      </c>
      <c r="EO194" s="138">
        <v>143</v>
      </c>
      <c r="EP194" s="138">
        <v>98</v>
      </c>
      <c r="EQ194" s="3">
        <v>-10484</v>
      </c>
      <c r="ER194" s="138">
        <v>278</v>
      </c>
      <c r="ES194" s="138">
        <v>3884</v>
      </c>
      <c r="ET194" s="163">
        <v>8000</v>
      </c>
      <c r="EU194" s="163">
        <v>2500</v>
      </c>
      <c r="EV194" s="138">
        <v>7000</v>
      </c>
      <c r="EW194" s="138">
        <v>5559</v>
      </c>
      <c r="EX194" s="138">
        <v>9000</v>
      </c>
      <c r="EY194" s="138">
        <v>6993</v>
      </c>
      <c r="EZ194" s="138">
        <v>42841</v>
      </c>
      <c r="FA194" s="138">
        <v>26905</v>
      </c>
      <c r="FB194" s="138">
        <v>15936</v>
      </c>
      <c r="FC194" s="138">
        <v>2958</v>
      </c>
      <c r="FD194" s="138">
        <v>48963</v>
      </c>
      <c r="FE194" s="138">
        <v>27691</v>
      </c>
      <c r="FF194" s="138">
        <v>21272</v>
      </c>
      <c r="FG194" s="138">
        <v>2661</v>
      </c>
      <c r="FH194" s="138">
        <v>53743</v>
      </c>
      <c r="FI194" s="138">
        <v>23637</v>
      </c>
      <c r="FJ194" s="138">
        <v>30106</v>
      </c>
      <c r="FK194" s="138">
        <v>2386</v>
      </c>
      <c r="FL194" s="147">
        <v>3847</v>
      </c>
      <c r="FM194" s="147">
        <v>4190.807440614211</v>
      </c>
      <c r="FO194" s="181">
        <f t="shared" si="9"/>
        <v>2699.8048780487807</v>
      </c>
      <c r="FP194" s="179">
        <f t="shared" si="8"/>
        <v>139.97329313815743</v>
      </c>
      <c r="FR194" s="184"/>
      <c r="FV194" s="184">
        <v>6568</v>
      </c>
      <c r="FW194" s="2">
        <f t="shared" si="10"/>
        <v>-6568</v>
      </c>
    </row>
    <row r="195" spans="1:179" ht="12.75">
      <c r="A195" s="82">
        <v>595</v>
      </c>
      <c r="B195" s="80" t="s">
        <v>187</v>
      </c>
      <c r="C195" s="191">
        <v>5006</v>
      </c>
      <c r="D195" s="146"/>
      <c r="E195" s="150">
        <v>0.9847972972972973</v>
      </c>
      <c r="F195" s="150">
        <v>23.7</v>
      </c>
      <c r="G195" s="151">
        <v>-899</v>
      </c>
      <c r="H195" s="152"/>
      <c r="I195" s="152"/>
      <c r="J195" s="152"/>
      <c r="K195" s="150">
        <v>69.5</v>
      </c>
      <c r="L195" s="151">
        <v>588</v>
      </c>
      <c r="M195" s="151">
        <v>31</v>
      </c>
      <c r="N195" s="154">
        <v>9086.29644426688</v>
      </c>
      <c r="O195" s="146">
        <v>11728</v>
      </c>
      <c r="P195" s="139">
        <v>3870</v>
      </c>
      <c r="Q195" s="139">
        <v>33048</v>
      </c>
      <c r="R195" s="139">
        <v>-29178</v>
      </c>
      <c r="S195" s="146">
        <v>12282</v>
      </c>
      <c r="T195" s="139">
        <v>17414</v>
      </c>
      <c r="U195" s="160"/>
      <c r="W195" s="138">
        <v>-74</v>
      </c>
      <c r="X195" s="138">
        <v>338</v>
      </c>
      <c r="Y195" s="139">
        <v>782</v>
      </c>
      <c r="Z195" s="138">
        <v>989</v>
      </c>
      <c r="AC195" s="139">
        <v>-207</v>
      </c>
      <c r="AD195" s="139"/>
      <c r="AE195" s="138">
        <v>23</v>
      </c>
      <c r="AG195" s="139">
        <v>-184</v>
      </c>
      <c r="AH195" s="139">
        <v>-1026</v>
      </c>
      <c r="AI195" s="139">
        <v>709</v>
      </c>
      <c r="AJ195" s="176"/>
      <c r="AK195" s="139">
        <v>266</v>
      </c>
      <c r="AL195" s="151">
        <v>-809</v>
      </c>
      <c r="AM195" s="151">
        <v>3</v>
      </c>
      <c r="AN195" s="146">
        <v>12282</v>
      </c>
      <c r="AO195" s="139">
        <v>9856</v>
      </c>
      <c r="AP195" s="139">
        <v>1533</v>
      </c>
      <c r="AQ195" s="139">
        <v>893</v>
      </c>
      <c r="AR195" s="114">
        <v>19.75</v>
      </c>
      <c r="AS195" s="152"/>
      <c r="AT195" s="138">
        <v>230</v>
      </c>
      <c r="AU195" s="191">
        <v>4926</v>
      </c>
      <c r="AV195" s="146"/>
      <c r="AW195" s="150">
        <v>0.32716650438169426</v>
      </c>
      <c r="AX195" s="150">
        <v>23.6</v>
      </c>
      <c r="AY195" s="151">
        <v>-1135</v>
      </c>
      <c r="AZ195" s="152"/>
      <c r="BA195" s="152"/>
      <c r="BB195" s="152"/>
      <c r="BC195" s="150">
        <v>67.5</v>
      </c>
      <c r="BD195" s="151">
        <v>267</v>
      </c>
      <c r="BE195" s="151">
        <v>13</v>
      </c>
      <c r="BF195" s="154">
        <v>7649.614291514413</v>
      </c>
      <c r="BG195" s="146">
        <v>13235</v>
      </c>
      <c r="BH195" s="139">
        <v>4915</v>
      </c>
      <c r="BI195" s="139">
        <v>35065</v>
      </c>
      <c r="BJ195" s="139">
        <v>-30150</v>
      </c>
      <c r="BK195" s="146">
        <v>12012</v>
      </c>
      <c r="BL195" s="146">
        <v>18009</v>
      </c>
      <c r="BM195" s="160"/>
      <c r="BO195" s="138">
        <v>-66</v>
      </c>
      <c r="BP195" s="138">
        <v>407</v>
      </c>
      <c r="BQ195" s="139">
        <v>212</v>
      </c>
      <c r="BR195" s="138">
        <v>1075</v>
      </c>
      <c r="BU195" s="139">
        <v>-863</v>
      </c>
      <c r="BV195" s="139"/>
      <c r="BY195" s="138">
        <v>-863</v>
      </c>
      <c r="BZ195" s="139">
        <v>-1901</v>
      </c>
      <c r="CA195" s="139">
        <v>213</v>
      </c>
      <c r="CB195" s="176"/>
      <c r="CC195" s="139">
        <v>665</v>
      </c>
      <c r="CD195" s="151">
        <v>-903</v>
      </c>
      <c r="CE195" s="151">
        <v>-648</v>
      </c>
      <c r="CF195" s="138">
        <v>12012</v>
      </c>
      <c r="CG195" s="139">
        <v>10166</v>
      </c>
      <c r="CH195" s="139">
        <v>920</v>
      </c>
      <c r="CI195" s="139">
        <v>926</v>
      </c>
      <c r="CJ195" s="114">
        <v>19.75</v>
      </c>
      <c r="CK195" s="152"/>
      <c r="CL195" s="138">
        <v>223</v>
      </c>
      <c r="CM195" s="190">
        <v>4824</v>
      </c>
      <c r="CN195" s="146"/>
      <c r="CO195" s="150">
        <v>1.1949025487256373</v>
      </c>
      <c r="CP195" s="150">
        <v>30.74643401190971</v>
      </c>
      <c r="CQ195" s="151">
        <v>-1201.285240464345</v>
      </c>
      <c r="CR195" s="152"/>
      <c r="CS195" s="152"/>
      <c r="CT195" s="152"/>
      <c r="CU195" s="150">
        <v>60.984506357257</v>
      </c>
      <c r="CV195" s="151">
        <v>745.8540630182421</v>
      </c>
      <c r="CW195" s="151">
        <v>34.48532114909931</v>
      </c>
      <c r="CX195" s="154">
        <v>7894.278606965174</v>
      </c>
      <c r="CY195" s="146">
        <v>13314</v>
      </c>
      <c r="CZ195" s="139">
        <v>4846</v>
      </c>
      <c r="DA195" s="139">
        <v>35136</v>
      </c>
      <c r="DB195" s="139">
        <v>-30290</v>
      </c>
      <c r="DC195" s="146">
        <v>12834</v>
      </c>
      <c r="DD195" s="146">
        <v>18434</v>
      </c>
      <c r="DE195" s="160"/>
      <c r="DG195" s="138">
        <v>-48</v>
      </c>
      <c r="DH195" s="138">
        <v>553</v>
      </c>
      <c r="DI195" s="139">
        <v>1483</v>
      </c>
      <c r="DJ195" s="138">
        <v>1075</v>
      </c>
      <c r="DL195" s="138">
        <v>283</v>
      </c>
      <c r="DM195" s="139">
        <v>125</v>
      </c>
      <c r="DN195" s="139"/>
      <c r="DQ195" s="138">
        <v>125</v>
      </c>
      <c r="DR195" s="139">
        <v>-1776</v>
      </c>
      <c r="DS195" s="139">
        <v>1135</v>
      </c>
      <c r="DT195" s="176"/>
      <c r="DU195" s="139">
        <v>-366</v>
      </c>
      <c r="DV195" s="151">
        <v>-1223</v>
      </c>
      <c r="DW195" s="138">
        <v>-340</v>
      </c>
      <c r="DX195" s="138">
        <v>12834</v>
      </c>
      <c r="DY195" s="146">
        <v>10851</v>
      </c>
      <c r="DZ195" s="196">
        <v>1059</v>
      </c>
      <c r="EA195" s="146">
        <v>924</v>
      </c>
      <c r="EB195" s="114">
        <v>20.75</v>
      </c>
      <c r="EC195" s="152"/>
      <c r="ED195" s="138">
        <v>136</v>
      </c>
      <c r="EE195" s="138">
        <v>18407</v>
      </c>
      <c r="EF195" s="138">
        <v>18339</v>
      </c>
      <c r="EG195" s="138">
        <v>18269</v>
      </c>
      <c r="EH195" s="138"/>
      <c r="EI195" s="138"/>
      <c r="EJ195" s="138"/>
      <c r="EK195" s="3">
        <v>-809</v>
      </c>
      <c r="EL195" s="138">
        <v>10</v>
      </c>
      <c r="EM195" s="138">
        <v>93</v>
      </c>
      <c r="EN195" s="3">
        <v>-1577</v>
      </c>
      <c r="EO195" s="138">
        <v>46</v>
      </c>
      <c r="EP195" s="138">
        <v>670</v>
      </c>
      <c r="EQ195" s="3">
        <v>-1601</v>
      </c>
      <c r="ES195" s="138">
        <v>126</v>
      </c>
      <c r="ET195" s="163"/>
      <c r="EU195" s="163">
        <v>-80</v>
      </c>
      <c r="EV195" s="138">
        <v>1700</v>
      </c>
      <c r="EW195" s="138">
        <v>94</v>
      </c>
      <c r="EX195" s="138">
        <v>3500</v>
      </c>
      <c r="EY195" s="138">
        <v>320</v>
      </c>
      <c r="EZ195" s="138">
        <v>4179</v>
      </c>
      <c r="FA195" s="138">
        <v>3370</v>
      </c>
      <c r="FB195" s="138">
        <v>809</v>
      </c>
      <c r="FC195" s="138">
        <v>586</v>
      </c>
      <c r="FD195" s="138">
        <v>5070</v>
      </c>
      <c r="FE195" s="138">
        <v>4168</v>
      </c>
      <c r="FF195" s="138">
        <v>902</v>
      </c>
      <c r="FG195" s="138">
        <v>586</v>
      </c>
      <c r="FH195" s="138">
        <v>7668</v>
      </c>
      <c r="FI195" s="138">
        <v>6446</v>
      </c>
      <c r="FJ195" s="138">
        <v>1222</v>
      </c>
      <c r="FK195" s="138">
        <v>586</v>
      </c>
      <c r="FL195" s="147">
        <v>1795</v>
      </c>
      <c r="FM195" s="147">
        <v>2118.1485992691837</v>
      </c>
      <c r="FO195" s="181">
        <f t="shared" si="9"/>
        <v>522.9397590361446</v>
      </c>
      <c r="FP195" s="179">
        <f aca="true" t="shared" si="11" ref="FP195:FP258">(FO195/CM195)*1000</f>
        <v>108.40376431097525</v>
      </c>
      <c r="FR195" s="184"/>
      <c r="FV195" s="184">
        <v>809</v>
      </c>
      <c r="FW195" s="2">
        <f t="shared" si="10"/>
        <v>-809</v>
      </c>
    </row>
    <row r="196" spans="1:179" ht="12.75">
      <c r="A196" s="82">
        <v>598</v>
      </c>
      <c r="B196" s="80" t="s">
        <v>188</v>
      </c>
      <c r="C196" s="191">
        <v>19623</v>
      </c>
      <c r="D196" s="146"/>
      <c r="E196" s="150">
        <v>0.6082935100971173</v>
      </c>
      <c r="F196" s="150">
        <v>64.9</v>
      </c>
      <c r="G196" s="151">
        <v>-5213</v>
      </c>
      <c r="H196" s="152"/>
      <c r="I196" s="152"/>
      <c r="J196" s="152"/>
      <c r="K196" s="150">
        <v>33.8</v>
      </c>
      <c r="L196" s="151">
        <v>906</v>
      </c>
      <c r="M196" s="151">
        <v>27</v>
      </c>
      <c r="N196" s="154">
        <v>10731.437598736176</v>
      </c>
      <c r="O196" s="146">
        <v>107270</v>
      </c>
      <c r="P196" s="139">
        <v>112918</v>
      </c>
      <c r="Q196" s="139">
        <v>208449</v>
      </c>
      <c r="R196" s="139">
        <v>-95531</v>
      </c>
      <c r="S196" s="146">
        <v>68555</v>
      </c>
      <c r="T196" s="139">
        <v>35648</v>
      </c>
      <c r="U196" s="160"/>
      <c r="W196" s="138">
        <v>-1971</v>
      </c>
      <c r="X196" s="138">
        <v>1049</v>
      </c>
      <c r="Y196" s="139">
        <v>7750</v>
      </c>
      <c r="Z196" s="138">
        <v>9107</v>
      </c>
      <c r="AB196" s="139"/>
      <c r="AC196" s="139">
        <v>-1357</v>
      </c>
      <c r="AG196" s="139">
        <v>-1357</v>
      </c>
      <c r="AH196" s="139">
        <v>11250</v>
      </c>
      <c r="AI196" s="139">
        <v>7066</v>
      </c>
      <c r="AJ196" s="176"/>
      <c r="AK196" s="139">
        <v>1354</v>
      </c>
      <c r="AL196" s="151">
        <v>-12832</v>
      </c>
      <c r="AM196" s="151">
        <v>-11745</v>
      </c>
      <c r="AN196" s="146">
        <v>68555</v>
      </c>
      <c r="AO196" s="139">
        <v>59672</v>
      </c>
      <c r="AP196" s="139">
        <v>4651</v>
      </c>
      <c r="AQ196" s="139">
        <v>4232</v>
      </c>
      <c r="AR196" s="114">
        <v>20.25</v>
      </c>
      <c r="AS196" s="152"/>
      <c r="AT196" s="138">
        <v>75</v>
      </c>
      <c r="AU196" s="191">
        <v>19680</v>
      </c>
      <c r="AV196" s="146"/>
      <c r="AW196" s="150">
        <v>0.44193691130918517</v>
      </c>
      <c r="AX196" s="150">
        <v>66.6</v>
      </c>
      <c r="AY196" s="151">
        <v>-5569</v>
      </c>
      <c r="AZ196" s="152"/>
      <c r="BA196" s="152"/>
      <c r="BB196" s="152"/>
      <c r="BC196" s="150">
        <v>32</v>
      </c>
      <c r="BD196" s="151">
        <v>797</v>
      </c>
      <c r="BE196" s="151">
        <v>24</v>
      </c>
      <c r="BF196" s="154">
        <v>12339.176829268294</v>
      </c>
      <c r="BG196" s="146">
        <v>110211</v>
      </c>
      <c r="BH196" s="139">
        <v>113051</v>
      </c>
      <c r="BI196" s="139">
        <v>214656</v>
      </c>
      <c r="BJ196" s="139">
        <v>-101605</v>
      </c>
      <c r="BK196" s="146">
        <v>69454</v>
      </c>
      <c r="BL196" s="146">
        <v>37574</v>
      </c>
      <c r="BM196" s="160"/>
      <c r="BO196" s="138">
        <v>-1682</v>
      </c>
      <c r="BP196" s="138">
        <v>1431</v>
      </c>
      <c r="BQ196" s="139">
        <v>5172</v>
      </c>
      <c r="BR196" s="138">
        <v>9330</v>
      </c>
      <c r="BS196" s="138">
        <v>1244</v>
      </c>
      <c r="BT196" s="139"/>
      <c r="BU196" s="139">
        <v>-2914</v>
      </c>
      <c r="BY196" s="138">
        <v>-2914</v>
      </c>
      <c r="BZ196" s="139">
        <v>8337</v>
      </c>
      <c r="CA196" s="139">
        <v>5755</v>
      </c>
      <c r="CB196" s="176"/>
      <c r="CC196" s="139">
        <v>-516</v>
      </c>
      <c r="CD196" s="151">
        <v>-14000</v>
      </c>
      <c r="CE196" s="151">
        <v>-7019</v>
      </c>
      <c r="CF196" s="138">
        <v>69454</v>
      </c>
      <c r="CG196" s="139">
        <v>60890</v>
      </c>
      <c r="CH196" s="139">
        <v>3629</v>
      </c>
      <c r="CI196" s="139">
        <v>4935</v>
      </c>
      <c r="CJ196" s="114">
        <v>20.25</v>
      </c>
      <c r="CK196" s="152"/>
      <c r="CL196" s="138">
        <v>79</v>
      </c>
      <c r="CM196" s="190">
        <v>19633</v>
      </c>
      <c r="CN196" s="146"/>
      <c r="CO196" s="150">
        <v>0.6287878787878788</v>
      </c>
      <c r="CP196" s="150">
        <v>66.69147552897603</v>
      </c>
      <c r="CQ196" s="151">
        <v>-5966.383130443641</v>
      </c>
      <c r="CR196" s="152"/>
      <c r="CS196" s="152"/>
      <c r="CT196" s="152"/>
      <c r="CU196" s="150">
        <v>28.50328311231045</v>
      </c>
      <c r="CV196" s="151">
        <v>976.6209952630775</v>
      </c>
      <c r="CW196" s="151">
        <v>27.81303278265051</v>
      </c>
      <c r="CX196" s="154">
        <v>12816.533387663627</v>
      </c>
      <c r="CY196" s="146">
        <v>115061</v>
      </c>
      <c r="CZ196" s="139">
        <v>116102</v>
      </c>
      <c r="DA196" s="139">
        <v>222820</v>
      </c>
      <c r="DB196" s="139">
        <v>-106718</v>
      </c>
      <c r="DC196" s="146">
        <v>76516</v>
      </c>
      <c r="DD196" s="146">
        <v>37714</v>
      </c>
      <c r="DE196" s="160"/>
      <c r="DG196" s="138">
        <v>-1382</v>
      </c>
      <c r="DH196" s="138">
        <v>1580</v>
      </c>
      <c r="DI196" s="139">
        <v>7710</v>
      </c>
      <c r="DJ196" s="138">
        <v>9655</v>
      </c>
      <c r="DL196" s="139"/>
      <c r="DM196" s="139">
        <v>-1945</v>
      </c>
      <c r="DQ196" s="138">
        <v>-1945</v>
      </c>
      <c r="DR196" s="139">
        <v>2052</v>
      </c>
      <c r="DS196" s="139">
        <v>6575</v>
      </c>
      <c r="DT196" s="176"/>
      <c r="DU196" s="139">
        <v>4047</v>
      </c>
      <c r="DV196" s="151">
        <v>-13100</v>
      </c>
      <c r="DW196" s="138">
        <v>-7724</v>
      </c>
      <c r="DX196" s="138">
        <v>76516</v>
      </c>
      <c r="DY196" s="146">
        <v>66712</v>
      </c>
      <c r="DZ196" s="196">
        <v>4673</v>
      </c>
      <c r="EA196" s="146">
        <v>5131</v>
      </c>
      <c r="EB196" s="114">
        <v>21.25</v>
      </c>
      <c r="EC196" s="152"/>
      <c r="ED196" s="138">
        <v>89</v>
      </c>
      <c r="EE196" s="138">
        <v>53103</v>
      </c>
      <c r="EF196" s="138">
        <v>56882</v>
      </c>
      <c r="EG196" s="138">
        <v>57919</v>
      </c>
      <c r="EH196" s="138"/>
      <c r="EI196" s="138"/>
      <c r="EJ196" s="138"/>
      <c r="EK196" s="3">
        <v>-19779</v>
      </c>
      <c r="EL196" s="138">
        <v>223</v>
      </c>
      <c r="EM196" s="138">
        <v>745</v>
      </c>
      <c r="EN196" s="3">
        <v>-14011</v>
      </c>
      <c r="EO196" s="138">
        <v>350</v>
      </c>
      <c r="EP196" s="138">
        <v>888</v>
      </c>
      <c r="EQ196" s="3">
        <v>-15948</v>
      </c>
      <c r="ER196" s="138">
        <v>625</v>
      </c>
      <c r="ES196" s="138">
        <v>1024</v>
      </c>
      <c r="ET196" s="163">
        <v>19000</v>
      </c>
      <c r="EU196" s="163">
        <v>3864</v>
      </c>
      <c r="EV196" s="138">
        <v>20000</v>
      </c>
      <c r="EW196" s="138">
        <v>1932</v>
      </c>
      <c r="EX196" s="138">
        <v>20000</v>
      </c>
      <c r="EY196" s="138">
        <v>-3116</v>
      </c>
      <c r="EZ196" s="138">
        <v>101076</v>
      </c>
      <c r="FA196" s="138">
        <v>61508</v>
      </c>
      <c r="FB196" s="138">
        <v>39568</v>
      </c>
      <c r="FC196" s="138">
        <v>3356</v>
      </c>
      <c r="FD196" s="138">
        <v>109009</v>
      </c>
      <c r="FE196" s="138">
        <v>67509</v>
      </c>
      <c r="FF196" s="138">
        <v>41500</v>
      </c>
      <c r="FG196" s="138">
        <v>3299</v>
      </c>
      <c r="FH196" s="138">
        <v>111009</v>
      </c>
      <c r="FI196" s="138">
        <v>72625</v>
      </c>
      <c r="FJ196" s="138">
        <v>38384</v>
      </c>
      <c r="FK196" s="138">
        <v>3196</v>
      </c>
      <c r="FL196" s="147">
        <v>6983</v>
      </c>
      <c r="FM196" s="147">
        <v>7526.321138211382</v>
      </c>
      <c r="FO196" s="181">
        <f t="shared" si="9"/>
        <v>3139.3882352941177</v>
      </c>
      <c r="FP196" s="179">
        <f t="shared" si="11"/>
        <v>159.90364362522882</v>
      </c>
      <c r="FR196" s="184"/>
      <c r="FV196" s="184">
        <v>12832</v>
      </c>
      <c r="FW196" s="2">
        <f t="shared" si="10"/>
        <v>-12832</v>
      </c>
    </row>
    <row r="197" spans="1:179" ht="12.75">
      <c r="A197" s="82">
        <v>601</v>
      </c>
      <c r="B197" s="80" t="s">
        <v>189</v>
      </c>
      <c r="C197" s="191">
        <v>4500</v>
      </c>
      <c r="D197" s="146"/>
      <c r="E197" s="150">
        <v>-0.32309217046580774</v>
      </c>
      <c r="F197" s="150">
        <v>50.8</v>
      </c>
      <c r="G197" s="151">
        <v>-1198</v>
      </c>
      <c r="H197" s="152"/>
      <c r="I197" s="152"/>
      <c r="J197" s="152"/>
      <c r="K197" s="150">
        <v>56.1</v>
      </c>
      <c r="L197" s="151">
        <v>1854</v>
      </c>
      <c r="M197" s="151">
        <v>87</v>
      </c>
      <c r="N197" s="154">
        <v>7753.333333333333</v>
      </c>
      <c r="O197" s="146">
        <v>14607</v>
      </c>
      <c r="P197" s="139">
        <v>6145</v>
      </c>
      <c r="Q197" s="139">
        <v>32532</v>
      </c>
      <c r="R197" s="139">
        <v>-26387</v>
      </c>
      <c r="S197" s="146">
        <v>10642</v>
      </c>
      <c r="T197" s="139">
        <v>15138</v>
      </c>
      <c r="U197" s="160"/>
      <c r="W197" s="138">
        <v>22</v>
      </c>
      <c r="X197" s="138">
        <v>-8</v>
      </c>
      <c r="Y197" s="139">
        <v>-593</v>
      </c>
      <c r="Z197" s="138">
        <v>1373</v>
      </c>
      <c r="AA197" s="139"/>
      <c r="AB197" s="139"/>
      <c r="AC197" s="139">
        <v>-1966</v>
      </c>
      <c r="AD197" s="138">
        <v>115</v>
      </c>
      <c r="AF197" s="138">
        <v>1900</v>
      </c>
      <c r="AG197" s="139">
        <v>49</v>
      </c>
      <c r="AH197" s="139">
        <v>220</v>
      </c>
      <c r="AI197" s="139">
        <v>-683</v>
      </c>
      <c r="AJ197" s="176"/>
      <c r="AK197" s="139">
        <v>707</v>
      </c>
      <c r="AL197" s="151">
        <v>-742</v>
      </c>
      <c r="AM197" s="151">
        <v>-1820</v>
      </c>
      <c r="AN197" s="146">
        <v>10642</v>
      </c>
      <c r="AO197" s="139">
        <v>8570</v>
      </c>
      <c r="AP197" s="139">
        <v>1537</v>
      </c>
      <c r="AQ197" s="139">
        <v>535</v>
      </c>
      <c r="AR197" s="114">
        <v>19.5</v>
      </c>
      <c r="AS197" s="152"/>
      <c r="AT197" s="138">
        <v>309</v>
      </c>
      <c r="AU197" s="191">
        <v>4441</v>
      </c>
      <c r="AV197" s="146"/>
      <c r="AW197" s="150">
        <v>1.5203996669442132</v>
      </c>
      <c r="AX197" s="150">
        <v>43.8</v>
      </c>
      <c r="AY197" s="151">
        <v>-1694</v>
      </c>
      <c r="AZ197" s="152"/>
      <c r="BA197" s="152"/>
      <c r="BB197" s="152"/>
      <c r="BC197" s="150">
        <v>53.6</v>
      </c>
      <c r="BD197" s="151">
        <v>2098</v>
      </c>
      <c r="BE197" s="151">
        <v>67</v>
      </c>
      <c r="BF197" s="154">
        <v>11476.01891465886</v>
      </c>
      <c r="BG197" s="146">
        <v>12565</v>
      </c>
      <c r="BH197" s="139">
        <v>16012</v>
      </c>
      <c r="BI197" s="139">
        <v>42628</v>
      </c>
      <c r="BJ197" s="139">
        <v>-26616</v>
      </c>
      <c r="BK197" s="146">
        <v>10744</v>
      </c>
      <c r="BL197" s="146">
        <v>17374</v>
      </c>
      <c r="BM197" s="160"/>
      <c r="BO197" s="138">
        <v>26</v>
      </c>
      <c r="BP197" s="138">
        <v>-35</v>
      </c>
      <c r="BQ197" s="139">
        <v>1493</v>
      </c>
      <c r="BR197" s="138">
        <v>1467</v>
      </c>
      <c r="BS197" s="139">
        <v>1505</v>
      </c>
      <c r="BT197" s="139"/>
      <c r="BU197" s="139">
        <v>1531</v>
      </c>
      <c r="BV197" s="138">
        <v>117</v>
      </c>
      <c r="BY197" s="138">
        <v>1648</v>
      </c>
      <c r="BZ197" s="139">
        <v>1868</v>
      </c>
      <c r="CA197" s="139">
        <v>1378</v>
      </c>
      <c r="CB197" s="176"/>
      <c r="CC197" s="139"/>
      <c r="CD197" s="151">
        <v>-868</v>
      </c>
      <c r="CE197" s="151">
        <v>-2208</v>
      </c>
      <c r="CF197" s="138">
        <v>10744</v>
      </c>
      <c r="CG197" s="139">
        <v>9135</v>
      </c>
      <c r="CH197" s="139">
        <v>949</v>
      </c>
      <c r="CI197" s="139">
        <v>660</v>
      </c>
      <c r="CJ197" s="114">
        <v>20</v>
      </c>
      <c r="CK197" s="152"/>
      <c r="CL197" s="138">
        <v>57</v>
      </c>
      <c r="CM197" s="190">
        <v>4354</v>
      </c>
      <c r="CN197" s="146"/>
      <c r="CO197" s="150">
        <v>2.096586178184846</v>
      </c>
      <c r="CP197" s="150">
        <v>48.26773773728851</v>
      </c>
      <c r="CQ197" s="151">
        <v>-2684.65778594396</v>
      </c>
      <c r="CR197" s="152"/>
      <c r="CS197" s="152"/>
      <c r="CT197" s="152"/>
      <c r="CU197" s="150">
        <v>52.12174875484228</v>
      </c>
      <c r="CV197" s="151">
        <v>1754.7083141938447</v>
      </c>
      <c r="CW197" s="151">
        <v>55.06714060031596</v>
      </c>
      <c r="CX197" s="154">
        <v>11630.684428112081</v>
      </c>
      <c r="CY197" s="146">
        <v>12594</v>
      </c>
      <c r="CZ197" s="139">
        <v>15377</v>
      </c>
      <c r="DA197" s="139">
        <v>42723</v>
      </c>
      <c r="DB197" s="139">
        <v>-27346</v>
      </c>
      <c r="DC197" s="146">
        <v>11819</v>
      </c>
      <c r="DD197" s="146">
        <v>17370</v>
      </c>
      <c r="DE197" s="160"/>
      <c r="DG197" s="138">
        <v>537</v>
      </c>
      <c r="DH197" s="138">
        <v>-70</v>
      </c>
      <c r="DI197" s="139">
        <v>2310</v>
      </c>
      <c r="DJ197" s="138">
        <v>1212</v>
      </c>
      <c r="DK197" s="139"/>
      <c r="DL197" s="139"/>
      <c r="DM197" s="139">
        <v>1098</v>
      </c>
      <c r="DN197" s="138">
        <v>113</v>
      </c>
      <c r="DQ197" s="138">
        <v>1211</v>
      </c>
      <c r="DR197" s="139">
        <v>3078</v>
      </c>
      <c r="DS197" s="139">
        <v>2189</v>
      </c>
      <c r="DT197" s="176"/>
      <c r="DU197" s="139">
        <v>311</v>
      </c>
      <c r="DV197" s="151">
        <v>-993</v>
      </c>
      <c r="DW197" s="138">
        <v>-3949</v>
      </c>
      <c r="DX197" s="138">
        <v>11819</v>
      </c>
      <c r="DY197" s="146">
        <v>9914</v>
      </c>
      <c r="DZ197" s="196">
        <v>1110</v>
      </c>
      <c r="EA197" s="146">
        <v>795</v>
      </c>
      <c r="EB197" s="114">
        <v>21</v>
      </c>
      <c r="EC197" s="152"/>
      <c r="ED197" s="138">
        <v>50</v>
      </c>
      <c r="EE197" s="138">
        <v>12586</v>
      </c>
      <c r="EF197" s="138">
        <v>24454</v>
      </c>
      <c r="EG197" s="138">
        <v>25099</v>
      </c>
      <c r="EH197" s="138"/>
      <c r="EI197" s="138">
        <v>600</v>
      </c>
      <c r="EJ197" s="138"/>
      <c r="EK197" s="3">
        <v>-1334</v>
      </c>
      <c r="EL197" s="138">
        <v>75</v>
      </c>
      <c r="EM197" s="138">
        <v>122</v>
      </c>
      <c r="EN197" s="3">
        <v>-7090</v>
      </c>
      <c r="EO197" s="138">
        <v>263</v>
      </c>
      <c r="EP197" s="138">
        <v>3241</v>
      </c>
      <c r="EQ197" s="3">
        <v>-6642</v>
      </c>
      <c r="ER197" s="138">
        <v>255</v>
      </c>
      <c r="ES197" s="138">
        <v>249</v>
      </c>
      <c r="ET197" s="163"/>
      <c r="EU197" s="163">
        <v>1500</v>
      </c>
      <c r="EV197" s="138">
        <v>5000</v>
      </c>
      <c r="EW197" s="138">
        <v>-1000</v>
      </c>
      <c r="EX197" s="138"/>
      <c r="EY197" s="138">
        <v>3500</v>
      </c>
      <c r="EZ197" s="138">
        <v>11843</v>
      </c>
      <c r="FA197" s="138">
        <v>7600</v>
      </c>
      <c r="FB197" s="138">
        <v>4243</v>
      </c>
      <c r="FC197" s="138">
        <v>0</v>
      </c>
      <c r="FD197" s="138">
        <v>14975</v>
      </c>
      <c r="FE197" s="138">
        <v>11482</v>
      </c>
      <c r="FF197" s="138">
        <v>3493</v>
      </c>
      <c r="FG197" s="138">
        <v>0</v>
      </c>
      <c r="FH197" s="138">
        <v>17481</v>
      </c>
      <c r="FI197" s="138">
        <v>10488</v>
      </c>
      <c r="FJ197" s="138">
        <v>6993</v>
      </c>
      <c r="FK197" s="138">
        <v>0</v>
      </c>
      <c r="FL197" s="147">
        <v>4052</v>
      </c>
      <c r="FM197" s="147">
        <v>4786.984913307814</v>
      </c>
      <c r="FO197" s="181">
        <f t="shared" si="9"/>
        <v>472.0952380952381</v>
      </c>
      <c r="FP197" s="179">
        <f t="shared" si="11"/>
        <v>108.42793709123521</v>
      </c>
      <c r="FR197" s="184"/>
      <c r="FV197" s="184">
        <v>742</v>
      </c>
      <c r="FW197" s="2">
        <f t="shared" si="10"/>
        <v>-742</v>
      </c>
    </row>
    <row r="198" spans="1:179" ht="12.75">
      <c r="A198" s="82">
        <v>604</v>
      </c>
      <c r="B198" s="80" t="s">
        <v>190</v>
      </c>
      <c r="C198" s="191">
        <v>17763</v>
      </c>
      <c r="D198" s="146"/>
      <c r="E198" s="150">
        <v>1.4158253111058934</v>
      </c>
      <c r="F198" s="150">
        <v>52.8</v>
      </c>
      <c r="G198" s="151">
        <v>-2536</v>
      </c>
      <c r="H198" s="152"/>
      <c r="I198" s="152"/>
      <c r="J198" s="152"/>
      <c r="K198" s="150">
        <v>55</v>
      </c>
      <c r="L198" s="151">
        <v>14</v>
      </c>
      <c r="M198" s="151">
        <v>1</v>
      </c>
      <c r="N198" s="154">
        <v>5940.719473061983</v>
      </c>
      <c r="O198" s="146">
        <v>45720</v>
      </c>
      <c r="P198" s="139">
        <v>16004</v>
      </c>
      <c r="Q198" s="139">
        <v>85859</v>
      </c>
      <c r="R198" s="139">
        <v>-69855</v>
      </c>
      <c r="S198" s="146">
        <v>67908</v>
      </c>
      <c r="T198" s="139">
        <v>13834</v>
      </c>
      <c r="U198" s="160"/>
      <c r="W198" s="138">
        <v>-1661</v>
      </c>
      <c r="X198" s="138">
        <v>138</v>
      </c>
      <c r="Y198" s="139">
        <v>10364</v>
      </c>
      <c r="Z198" s="138">
        <v>4820</v>
      </c>
      <c r="AC198" s="139">
        <v>5544</v>
      </c>
      <c r="AD198" s="139"/>
      <c r="AG198" s="139">
        <v>5544</v>
      </c>
      <c r="AH198" s="139">
        <v>31932</v>
      </c>
      <c r="AI198" s="139">
        <v>8603</v>
      </c>
      <c r="AJ198" s="176"/>
      <c r="AK198" s="138">
        <v>1172</v>
      </c>
      <c r="AL198" s="151">
        <v>-6822</v>
      </c>
      <c r="AM198" s="151">
        <v>-402</v>
      </c>
      <c r="AN198" s="146">
        <v>67908</v>
      </c>
      <c r="AO198" s="139">
        <v>62085</v>
      </c>
      <c r="AP198" s="139">
        <v>2566</v>
      </c>
      <c r="AQ198" s="139">
        <v>3257</v>
      </c>
      <c r="AR198" s="114">
        <v>20</v>
      </c>
      <c r="AS198" s="152"/>
      <c r="AT198" s="138">
        <v>24</v>
      </c>
      <c r="AU198" s="191">
        <v>18128</v>
      </c>
      <c r="AV198" s="146"/>
      <c r="AW198" s="150">
        <v>1.2514402765330943</v>
      </c>
      <c r="AX198" s="150">
        <v>61</v>
      </c>
      <c r="AY198" s="151">
        <v>-2778</v>
      </c>
      <c r="AZ198" s="152"/>
      <c r="BA198" s="152"/>
      <c r="BB198" s="152"/>
      <c r="BC198" s="150">
        <v>51.9</v>
      </c>
      <c r="BD198" s="151">
        <v>242</v>
      </c>
      <c r="BE198" s="151">
        <v>14</v>
      </c>
      <c r="BF198" s="154">
        <v>6311.948367166813</v>
      </c>
      <c r="BG198" s="146">
        <v>49100</v>
      </c>
      <c r="BH198" s="139">
        <v>14209</v>
      </c>
      <c r="BI198" s="139">
        <v>91018</v>
      </c>
      <c r="BJ198" s="139">
        <v>-76809</v>
      </c>
      <c r="BK198" s="146">
        <v>72529</v>
      </c>
      <c r="BL198" s="146">
        <v>13921</v>
      </c>
      <c r="BM198" s="160"/>
      <c r="BO198" s="138">
        <v>-1668</v>
      </c>
      <c r="BP198" s="138">
        <v>125</v>
      </c>
      <c r="BQ198" s="139">
        <v>8098</v>
      </c>
      <c r="BR198" s="138">
        <v>4993</v>
      </c>
      <c r="BS198" s="138">
        <v>12</v>
      </c>
      <c r="BU198" s="139">
        <v>3117</v>
      </c>
      <c r="BV198" s="139"/>
      <c r="BY198" s="138">
        <v>3117</v>
      </c>
      <c r="BZ198" s="139">
        <v>35049</v>
      </c>
      <c r="CA198" s="139">
        <v>8147</v>
      </c>
      <c r="CB198" s="176"/>
      <c r="CC198" s="138">
        <v>-308</v>
      </c>
      <c r="CD198" s="151">
        <v>-6134</v>
      </c>
      <c r="CE198" s="151">
        <v>-5035</v>
      </c>
      <c r="CF198" s="138">
        <v>72529</v>
      </c>
      <c r="CG198" s="139">
        <v>67257</v>
      </c>
      <c r="CH198" s="139">
        <v>1890</v>
      </c>
      <c r="CI198" s="139">
        <v>3382</v>
      </c>
      <c r="CJ198" s="114">
        <v>20</v>
      </c>
      <c r="CK198" s="152"/>
      <c r="CL198" s="138">
        <v>30</v>
      </c>
      <c r="CM198" s="190">
        <v>18369</v>
      </c>
      <c r="CN198" s="146"/>
      <c r="CO198" s="150">
        <v>1.8339023109243697</v>
      </c>
      <c r="CP198" s="150">
        <v>52.652593683521516</v>
      </c>
      <c r="CQ198" s="151">
        <v>-2605.531057760357</v>
      </c>
      <c r="CR198" s="152"/>
      <c r="CS198" s="152"/>
      <c r="CT198" s="152"/>
      <c r="CU198" s="150">
        <v>54.36387136873777</v>
      </c>
      <c r="CV198" s="151">
        <v>440.03484130872664</v>
      </c>
      <c r="CW198" s="151">
        <v>22.33582914420689</v>
      </c>
      <c r="CX198" s="154">
        <v>7190.810604823343</v>
      </c>
      <c r="CY198" s="146">
        <v>53028</v>
      </c>
      <c r="CZ198" s="139">
        <v>29063</v>
      </c>
      <c r="DA198" s="139">
        <v>107538</v>
      </c>
      <c r="DB198" s="139">
        <v>-78475</v>
      </c>
      <c r="DC198" s="146">
        <v>80127</v>
      </c>
      <c r="DD198" s="146">
        <v>13030</v>
      </c>
      <c r="DE198" s="160"/>
      <c r="DG198" s="138">
        <v>-1000</v>
      </c>
      <c r="DH198" s="138">
        <v>-722</v>
      </c>
      <c r="DI198" s="139">
        <v>12960</v>
      </c>
      <c r="DJ198" s="138">
        <v>5801</v>
      </c>
      <c r="DK198" s="138">
        <v>3394</v>
      </c>
      <c r="DM198" s="139">
        <v>10553</v>
      </c>
      <c r="DN198" s="139"/>
      <c r="DQ198" s="138">
        <v>10553</v>
      </c>
      <c r="DR198" s="139">
        <v>45602</v>
      </c>
      <c r="DS198" s="139">
        <v>10928</v>
      </c>
      <c r="DT198" s="176"/>
      <c r="DU198" s="138">
        <v>-1781</v>
      </c>
      <c r="DV198" s="151">
        <v>-6609</v>
      </c>
      <c r="DW198" s="138">
        <v>1948</v>
      </c>
      <c r="DX198" s="138">
        <v>80127</v>
      </c>
      <c r="DY198" s="146">
        <v>74271</v>
      </c>
      <c r="DZ198" s="196">
        <v>2377</v>
      </c>
      <c r="EA198" s="146">
        <v>3479</v>
      </c>
      <c r="EB198" s="114">
        <v>20</v>
      </c>
      <c r="EC198" s="152"/>
      <c r="ED198" s="138">
        <v>20</v>
      </c>
      <c r="EE198" s="138">
        <v>28929</v>
      </c>
      <c r="EF198" s="138">
        <v>29978</v>
      </c>
      <c r="EG198" s="138">
        <v>40591</v>
      </c>
      <c r="EH198" s="138"/>
      <c r="EI198" s="138"/>
      <c r="EJ198" s="138"/>
      <c r="EK198" s="3">
        <v>-11141</v>
      </c>
      <c r="EL198" s="138">
        <v>281</v>
      </c>
      <c r="EM198" s="138">
        <v>1855</v>
      </c>
      <c r="EN198" s="3">
        <v>-15590</v>
      </c>
      <c r="EO198" s="138">
        <v>1632</v>
      </c>
      <c r="EP198" s="138">
        <v>775</v>
      </c>
      <c r="EQ198" s="3">
        <v>-16101</v>
      </c>
      <c r="ER198" s="138">
        <v>45</v>
      </c>
      <c r="ES198" s="138">
        <v>7076</v>
      </c>
      <c r="ET198" s="163"/>
      <c r="EU198" s="163"/>
      <c r="EV198" s="138">
        <v>10750</v>
      </c>
      <c r="EW198" s="138">
        <v>4000</v>
      </c>
      <c r="EX198" s="138">
        <v>10650</v>
      </c>
      <c r="EY198" s="138">
        <v>-4000</v>
      </c>
      <c r="EZ198" s="138">
        <v>35510</v>
      </c>
      <c r="FA198" s="138">
        <v>29376</v>
      </c>
      <c r="FB198" s="138">
        <v>6134</v>
      </c>
      <c r="FC198" s="138">
        <v>8</v>
      </c>
      <c r="FD198" s="138">
        <v>44126</v>
      </c>
      <c r="FE198" s="138">
        <v>33517</v>
      </c>
      <c r="FF198" s="138">
        <v>10609</v>
      </c>
      <c r="FG198" s="138">
        <v>8</v>
      </c>
      <c r="FH198" s="138">
        <v>44168</v>
      </c>
      <c r="FI198" s="138">
        <v>36459</v>
      </c>
      <c r="FJ198" s="138">
        <v>7709</v>
      </c>
      <c r="FK198" s="138">
        <v>8</v>
      </c>
      <c r="FL198" s="147">
        <v>2102</v>
      </c>
      <c r="FM198" s="147">
        <v>2523.885701676964</v>
      </c>
      <c r="FO198" s="181">
        <f t="shared" si="9"/>
        <v>3713.55</v>
      </c>
      <c r="FP198" s="179">
        <f t="shared" si="11"/>
        <v>202.16397190919486</v>
      </c>
      <c r="FR198" s="184"/>
      <c r="FV198" s="184">
        <v>6822</v>
      </c>
      <c r="FW198" s="2">
        <f t="shared" si="10"/>
        <v>-6822</v>
      </c>
    </row>
    <row r="199" spans="1:179" ht="12.75">
      <c r="A199" s="82">
        <v>607</v>
      </c>
      <c r="B199" s="80" t="s">
        <v>191</v>
      </c>
      <c r="C199" s="191">
        <v>4778</v>
      </c>
      <c r="D199" s="146"/>
      <c r="E199" s="150">
        <v>6.363636363636363</v>
      </c>
      <c r="F199" s="150">
        <v>25.4</v>
      </c>
      <c r="G199" s="151">
        <v>365</v>
      </c>
      <c r="H199" s="152"/>
      <c r="I199" s="152"/>
      <c r="J199" s="152"/>
      <c r="K199" s="150">
        <v>76.8</v>
      </c>
      <c r="L199" s="151">
        <v>1390</v>
      </c>
      <c r="M199" s="151">
        <v>78</v>
      </c>
      <c r="N199" s="154">
        <v>6485.977396400167</v>
      </c>
      <c r="O199" s="146">
        <v>12898</v>
      </c>
      <c r="P199" s="139">
        <v>4704</v>
      </c>
      <c r="Q199" s="139">
        <v>26956</v>
      </c>
      <c r="R199" s="139">
        <v>-22252</v>
      </c>
      <c r="S199" s="146">
        <v>9832</v>
      </c>
      <c r="T199" s="139">
        <v>14640</v>
      </c>
      <c r="U199" s="160"/>
      <c r="W199" s="138">
        <v>21</v>
      </c>
      <c r="X199" s="138">
        <v>153</v>
      </c>
      <c r="Y199" s="139">
        <v>2394</v>
      </c>
      <c r="Z199" s="138">
        <v>900</v>
      </c>
      <c r="AA199" s="139"/>
      <c r="AC199" s="139">
        <v>1494</v>
      </c>
      <c r="AD199" s="138">
        <v>-1633</v>
      </c>
      <c r="AE199" s="138">
        <v>200</v>
      </c>
      <c r="AG199" s="139">
        <v>61</v>
      </c>
      <c r="AH199" s="139">
        <v>6415</v>
      </c>
      <c r="AI199" s="139">
        <v>2450</v>
      </c>
      <c r="AJ199" s="176"/>
      <c r="AK199" s="139">
        <v>-416</v>
      </c>
      <c r="AL199" s="151">
        <v>-329</v>
      </c>
      <c r="AM199" s="151">
        <v>135</v>
      </c>
      <c r="AN199" s="146">
        <v>9832</v>
      </c>
      <c r="AO199" s="139">
        <v>8370</v>
      </c>
      <c r="AP199" s="139">
        <v>942</v>
      </c>
      <c r="AQ199" s="139">
        <v>520</v>
      </c>
      <c r="AR199" s="114">
        <v>19</v>
      </c>
      <c r="AS199" s="152"/>
      <c r="AT199" s="138">
        <v>39</v>
      </c>
      <c r="AU199" s="191">
        <v>4728</v>
      </c>
      <c r="AV199" s="146"/>
      <c r="AW199" s="150">
        <v>3.7465277777777777</v>
      </c>
      <c r="AX199" s="150">
        <v>21.6</v>
      </c>
      <c r="AY199" s="151">
        <v>445</v>
      </c>
      <c r="AZ199" s="152"/>
      <c r="BA199" s="152"/>
      <c r="BB199" s="152"/>
      <c r="BC199" s="150">
        <v>80</v>
      </c>
      <c r="BD199" s="151">
        <v>1341</v>
      </c>
      <c r="BE199" s="151">
        <v>76</v>
      </c>
      <c r="BF199" s="154">
        <v>6447.123519458545</v>
      </c>
      <c r="BG199" s="146">
        <v>13387</v>
      </c>
      <c r="BH199" s="139">
        <v>4747</v>
      </c>
      <c r="BI199" s="139">
        <v>28056</v>
      </c>
      <c r="BJ199" s="139">
        <v>-23309</v>
      </c>
      <c r="BK199" s="146">
        <v>10171</v>
      </c>
      <c r="BL199" s="146">
        <v>15008</v>
      </c>
      <c r="BM199" s="160"/>
      <c r="BO199" s="138">
        <v>-41</v>
      </c>
      <c r="BP199" s="138">
        <v>216</v>
      </c>
      <c r="BQ199" s="139">
        <v>2045</v>
      </c>
      <c r="BR199" s="138">
        <v>900</v>
      </c>
      <c r="BS199" s="139"/>
      <c r="BU199" s="139">
        <v>1145</v>
      </c>
      <c r="BV199" s="138">
        <v>-3356</v>
      </c>
      <c r="BW199" s="138">
        <v>2278</v>
      </c>
      <c r="BY199" s="138">
        <v>67</v>
      </c>
      <c r="BZ199" s="139">
        <v>6483</v>
      </c>
      <c r="CA199" s="139">
        <v>1986</v>
      </c>
      <c r="CB199" s="176"/>
      <c r="CC199" s="139">
        <v>236</v>
      </c>
      <c r="CD199" s="151">
        <v>-463</v>
      </c>
      <c r="CE199" s="151">
        <v>304</v>
      </c>
      <c r="CF199" s="138">
        <v>10171</v>
      </c>
      <c r="CG199" s="139">
        <v>8918</v>
      </c>
      <c r="CH199" s="139">
        <v>605</v>
      </c>
      <c r="CI199" s="139">
        <v>648</v>
      </c>
      <c r="CJ199" s="114">
        <v>19</v>
      </c>
      <c r="CK199" s="152"/>
      <c r="CL199" s="138">
        <v>32</v>
      </c>
      <c r="CM199" s="190">
        <v>4664</v>
      </c>
      <c r="CN199" s="146"/>
      <c r="CO199" s="150">
        <v>4.789583333333334</v>
      </c>
      <c r="CP199" s="150">
        <v>19.475631333440568</v>
      </c>
      <c r="CQ199" s="151">
        <v>609.5626072041166</v>
      </c>
      <c r="CR199" s="152"/>
      <c r="CS199" s="152"/>
      <c r="CT199" s="152"/>
      <c r="CU199" s="150">
        <v>81.76357520422873</v>
      </c>
      <c r="CV199" s="151">
        <v>1568.3962264150944</v>
      </c>
      <c r="CW199" s="151">
        <v>84.93637665023063</v>
      </c>
      <c r="CX199" s="154">
        <v>6739.922813036021</v>
      </c>
      <c r="CY199" s="146">
        <v>13514</v>
      </c>
      <c r="CZ199" s="139">
        <v>4627</v>
      </c>
      <c r="DA199" s="139">
        <v>29057</v>
      </c>
      <c r="DB199" s="139">
        <v>-24430</v>
      </c>
      <c r="DC199" s="146">
        <v>10938</v>
      </c>
      <c r="DD199" s="146">
        <v>15520</v>
      </c>
      <c r="DE199" s="160"/>
      <c r="DG199" s="138">
        <v>-17</v>
      </c>
      <c r="DH199" s="138">
        <v>226</v>
      </c>
      <c r="DI199" s="139">
        <v>2237</v>
      </c>
      <c r="DJ199" s="138">
        <v>1247</v>
      </c>
      <c r="DK199" s="139"/>
      <c r="DM199" s="139">
        <v>990</v>
      </c>
      <c r="DN199" s="138">
        <v>-362</v>
      </c>
      <c r="DO199" s="138">
        <v>-593</v>
      </c>
      <c r="DQ199" s="138">
        <v>35</v>
      </c>
      <c r="DR199" s="139">
        <v>6749</v>
      </c>
      <c r="DS199" s="139">
        <v>2237</v>
      </c>
      <c r="DT199" s="176"/>
      <c r="DU199" s="139">
        <v>656</v>
      </c>
      <c r="DV199" s="151">
        <v>-418</v>
      </c>
      <c r="DW199" s="138">
        <v>456</v>
      </c>
      <c r="DX199" s="138">
        <v>10938</v>
      </c>
      <c r="DY199" s="146">
        <v>9506</v>
      </c>
      <c r="DZ199" s="196">
        <v>755</v>
      </c>
      <c r="EA199" s="146">
        <v>677</v>
      </c>
      <c r="EB199" s="114">
        <v>19</v>
      </c>
      <c r="EC199" s="152"/>
      <c r="ED199" s="138">
        <v>65</v>
      </c>
      <c r="EE199" s="138">
        <v>10516</v>
      </c>
      <c r="EF199" s="138">
        <v>10942</v>
      </c>
      <c r="EG199" s="138">
        <v>11835</v>
      </c>
      <c r="EH199" s="138"/>
      <c r="EI199" s="138"/>
      <c r="EJ199" s="138"/>
      <c r="EK199" s="3">
        <v>-3565</v>
      </c>
      <c r="EL199" s="138">
        <v>1236</v>
      </c>
      <c r="EM199" s="138">
        <v>14</v>
      </c>
      <c r="EN199" s="3">
        <v>-1828</v>
      </c>
      <c r="EO199" s="138">
        <v>141</v>
      </c>
      <c r="EP199" s="138">
        <v>5</v>
      </c>
      <c r="EQ199" s="3">
        <v>-1886</v>
      </c>
      <c r="ER199" s="138">
        <v>94</v>
      </c>
      <c r="ES199" s="138">
        <v>11</v>
      </c>
      <c r="ET199" s="163">
        <v>1500</v>
      </c>
      <c r="EU199" s="163"/>
      <c r="EV199" s="138"/>
      <c r="EW199" s="138"/>
      <c r="EX199" s="138"/>
      <c r="EY199" s="138"/>
      <c r="EZ199" s="138">
        <v>3373</v>
      </c>
      <c r="FA199" s="138">
        <v>2910</v>
      </c>
      <c r="FB199" s="138">
        <v>463</v>
      </c>
      <c r="FC199" s="138">
        <v>819</v>
      </c>
      <c r="FD199" s="138">
        <v>2910</v>
      </c>
      <c r="FE199" s="138">
        <v>2492</v>
      </c>
      <c r="FF199" s="138">
        <v>418</v>
      </c>
      <c r="FG199" s="138">
        <v>767</v>
      </c>
      <c r="FH199" s="138">
        <v>2492</v>
      </c>
      <c r="FI199" s="138">
        <v>2086</v>
      </c>
      <c r="FJ199" s="138">
        <v>406</v>
      </c>
      <c r="FK199" s="138">
        <v>709</v>
      </c>
      <c r="FL199" s="147">
        <v>1697</v>
      </c>
      <c r="FM199" s="147">
        <v>1555.6260575296108</v>
      </c>
      <c r="FO199" s="181">
        <f t="shared" si="9"/>
        <v>500.3157894736842</v>
      </c>
      <c r="FP199" s="179">
        <f t="shared" si="11"/>
        <v>107.27182450121875</v>
      </c>
      <c r="FR199" s="184"/>
      <c r="FV199" s="184">
        <v>329</v>
      </c>
      <c r="FW199" s="2">
        <f t="shared" si="10"/>
        <v>-329</v>
      </c>
    </row>
    <row r="200" spans="1:179" ht="12.75">
      <c r="A200" s="82">
        <v>608</v>
      </c>
      <c r="B200" s="80" t="s">
        <v>192</v>
      </c>
      <c r="C200" s="191">
        <v>2415</v>
      </c>
      <c r="D200" s="146"/>
      <c r="E200" s="150">
        <v>1.116504854368932</v>
      </c>
      <c r="F200" s="150">
        <v>30.1</v>
      </c>
      <c r="G200" s="151">
        <v>-1531</v>
      </c>
      <c r="H200" s="152"/>
      <c r="I200" s="152"/>
      <c r="J200" s="152"/>
      <c r="K200" s="150">
        <v>59.1</v>
      </c>
      <c r="L200" s="151">
        <v>68</v>
      </c>
      <c r="M200" s="151">
        <v>4</v>
      </c>
      <c r="N200" s="154">
        <v>6589.648033126294</v>
      </c>
      <c r="O200" s="146">
        <v>4146</v>
      </c>
      <c r="P200" s="139">
        <v>1631</v>
      </c>
      <c r="Q200" s="139">
        <v>14988</v>
      </c>
      <c r="R200" s="139">
        <v>-13357</v>
      </c>
      <c r="S200" s="146">
        <v>5939</v>
      </c>
      <c r="T200" s="139">
        <v>7732</v>
      </c>
      <c r="U200" s="160"/>
      <c r="W200" s="138">
        <v>-61</v>
      </c>
      <c r="X200" s="138">
        <v>27</v>
      </c>
      <c r="Y200" s="139">
        <v>280</v>
      </c>
      <c r="Z200" s="138">
        <v>414</v>
      </c>
      <c r="AC200" s="139">
        <v>-134</v>
      </c>
      <c r="AG200" s="139">
        <v>-134</v>
      </c>
      <c r="AH200" s="139">
        <v>1445</v>
      </c>
      <c r="AI200" s="139">
        <v>182</v>
      </c>
      <c r="AJ200" s="176"/>
      <c r="AK200" s="139">
        <v>-66</v>
      </c>
      <c r="AL200" s="151">
        <v>-244</v>
      </c>
      <c r="AM200" s="151">
        <v>-345</v>
      </c>
      <c r="AN200" s="146">
        <v>5939</v>
      </c>
      <c r="AO200" s="139">
        <v>5181</v>
      </c>
      <c r="AP200" s="139">
        <v>414</v>
      </c>
      <c r="AQ200" s="139">
        <v>344</v>
      </c>
      <c r="AR200" s="114">
        <v>19.75</v>
      </c>
      <c r="AS200" s="152"/>
      <c r="AT200" s="138">
        <v>245</v>
      </c>
      <c r="AU200" s="191">
        <v>2373</v>
      </c>
      <c r="AV200" s="146"/>
      <c r="AW200" s="150">
        <v>0.7188755020080321</v>
      </c>
      <c r="AX200" s="150">
        <v>28.3</v>
      </c>
      <c r="AY200" s="151">
        <v>-1501</v>
      </c>
      <c r="AZ200" s="152"/>
      <c r="BA200" s="152"/>
      <c r="BB200" s="152"/>
      <c r="BC200" s="150">
        <v>58.7</v>
      </c>
      <c r="BD200" s="151">
        <v>81</v>
      </c>
      <c r="BE200" s="151">
        <v>4</v>
      </c>
      <c r="BF200" s="154">
        <v>6913.611462284029</v>
      </c>
      <c r="BG200" s="146">
        <v>4543</v>
      </c>
      <c r="BH200" s="139">
        <v>1619</v>
      </c>
      <c r="BI200" s="139">
        <v>15894</v>
      </c>
      <c r="BJ200" s="139">
        <v>-14275</v>
      </c>
      <c r="BK200" s="146">
        <v>5926</v>
      </c>
      <c r="BL200" s="146">
        <v>8504</v>
      </c>
      <c r="BM200" s="160"/>
      <c r="BO200" s="138">
        <v>-45</v>
      </c>
      <c r="BP200" s="138">
        <v>20</v>
      </c>
      <c r="BQ200" s="139">
        <v>130</v>
      </c>
      <c r="BR200" s="138">
        <v>423</v>
      </c>
      <c r="BU200" s="139">
        <v>-293</v>
      </c>
      <c r="BY200" s="138">
        <v>-293</v>
      </c>
      <c r="BZ200" s="139">
        <v>1238</v>
      </c>
      <c r="CA200" s="139">
        <v>126</v>
      </c>
      <c r="CB200" s="176"/>
      <c r="CC200" s="139">
        <v>-45</v>
      </c>
      <c r="CD200" s="151">
        <v>-200</v>
      </c>
      <c r="CE200" s="151">
        <v>48</v>
      </c>
      <c r="CF200" s="138">
        <v>5926</v>
      </c>
      <c r="CG200" s="139">
        <v>5337</v>
      </c>
      <c r="CH200" s="139">
        <v>239</v>
      </c>
      <c r="CI200" s="139">
        <v>350</v>
      </c>
      <c r="CJ200" s="114">
        <v>19.75</v>
      </c>
      <c r="CK200" s="152"/>
      <c r="CL200" s="138">
        <v>218</v>
      </c>
      <c r="CM200" s="190">
        <v>2340</v>
      </c>
      <c r="CN200" s="146"/>
      <c r="CO200" s="150">
        <v>8.31981981981982</v>
      </c>
      <c r="CP200" s="150">
        <v>19.192216981132077</v>
      </c>
      <c r="CQ200" s="151">
        <v>-1195.7264957264956</v>
      </c>
      <c r="CR200" s="152"/>
      <c r="CS200" s="152"/>
      <c r="CT200" s="152"/>
      <c r="CU200" s="150">
        <v>70.70205023520015</v>
      </c>
      <c r="CV200" s="151">
        <v>0</v>
      </c>
      <c r="CW200" s="151">
        <v>0</v>
      </c>
      <c r="CX200" s="154">
        <v>7082.051282051281</v>
      </c>
      <c r="CY200" s="146">
        <v>4424</v>
      </c>
      <c r="CZ200" s="139">
        <v>1662</v>
      </c>
      <c r="DA200" s="139">
        <v>15123</v>
      </c>
      <c r="DB200" s="139">
        <v>-13461</v>
      </c>
      <c r="DC200" s="146">
        <v>6485</v>
      </c>
      <c r="DD200" s="146">
        <v>8813</v>
      </c>
      <c r="DE200" s="160"/>
      <c r="DG200" s="138">
        <v>-20</v>
      </c>
      <c r="DH200" s="138">
        <v>8</v>
      </c>
      <c r="DI200" s="139">
        <v>1825</v>
      </c>
      <c r="DJ200" s="138">
        <v>402</v>
      </c>
      <c r="DM200" s="139">
        <v>1423</v>
      </c>
      <c r="DQ200" s="138">
        <v>1423</v>
      </c>
      <c r="DR200" s="139">
        <v>2661</v>
      </c>
      <c r="DS200" s="139">
        <v>1863</v>
      </c>
      <c r="DT200" s="176"/>
      <c r="DU200" s="139">
        <v>335</v>
      </c>
      <c r="DV200" s="151">
        <v>-200</v>
      </c>
      <c r="DW200" s="138">
        <v>769</v>
      </c>
      <c r="DX200" s="138">
        <v>6485</v>
      </c>
      <c r="DY200" s="146">
        <v>5820</v>
      </c>
      <c r="DZ200" s="196">
        <v>297</v>
      </c>
      <c r="EA200" s="146">
        <v>368</v>
      </c>
      <c r="EB200" s="114">
        <v>20.5</v>
      </c>
      <c r="EC200" s="152"/>
      <c r="ED200" s="138">
        <v>13</v>
      </c>
      <c r="EE200" s="138">
        <v>9780</v>
      </c>
      <c r="EF200" s="138">
        <v>10194</v>
      </c>
      <c r="EG200" s="138">
        <v>9564</v>
      </c>
      <c r="EH200" s="138"/>
      <c r="EI200" s="138"/>
      <c r="EJ200" s="138"/>
      <c r="EK200" s="3">
        <v>-616</v>
      </c>
      <c r="EL200" s="138">
        <v>22</v>
      </c>
      <c r="EM200" s="138">
        <v>67</v>
      </c>
      <c r="EN200" s="3">
        <v>-188</v>
      </c>
      <c r="EO200" s="138"/>
      <c r="EP200" s="138">
        <v>110</v>
      </c>
      <c r="EQ200" s="3">
        <v>-1129</v>
      </c>
      <c r="ES200" s="138">
        <v>35</v>
      </c>
      <c r="ET200" s="163"/>
      <c r="EU200" s="163">
        <v>338</v>
      </c>
      <c r="EV200" s="138"/>
      <c r="EW200" s="138">
        <v>511</v>
      </c>
      <c r="EX200" s="138"/>
      <c r="EY200" s="138">
        <v>-1120</v>
      </c>
      <c r="EZ200" s="138">
        <v>2625</v>
      </c>
      <c r="FA200" s="138">
        <v>881</v>
      </c>
      <c r="FB200" s="138">
        <v>1744</v>
      </c>
      <c r="FC200" s="138">
        <v>134</v>
      </c>
      <c r="FD200" s="138">
        <v>2936</v>
      </c>
      <c r="FE200" s="138">
        <v>681</v>
      </c>
      <c r="FF200" s="138">
        <v>2255</v>
      </c>
      <c r="FG200" s="138">
        <v>131</v>
      </c>
      <c r="FH200" s="138">
        <v>1615</v>
      </c>
      <c r="FI200" s="138">
        <v>479</v>
      </c>
      <c r="FJ200" s="138">
        <v>1136</v>
      </c>
      <c r="FK200" s="138">
        <v>129</v>
      </c>
      <c r="FL200" s="147">
        <v>1670</v>
      </c>
      <c r="FM200" s="147">
        <v>1812.0522545301308</v>
      </c>
      <c r="FO200" s="181">
        <f t="shared" si="9"/>
        <v>283.9024390243902</v>
      </c>
      <c r="FP200" s="179">
        <f t="shared" si="11"/>
        <v>121.3258286429018</v>
      </c>
      <c r="FR200" s="184"/>
      <c r="FV200" s="184">
        <v>244</v>
      </c>
      <c r="FW200" s="2">
        <f t="shared" si="10"/>
        <v>-244</v>
      </c>
    </row>
    <row r="201" spans="1:179" ht="12.75">
      <c r="A201" s="82">
        <v>609</v>
      </c>
      <c r="B201" s="80" t="s">
        <v>193</v>
      </c>
      <c r="C201" s="191">
        <v>83133</v>
      </c>
      <c r="D201" s="146"/>
      <c r="E201" s="150">
        <v>0.9127083269857713</v>
      </c>
      <c r="F201" s="150">
        <v>42.9</v>
      </c>
      <c r="G201" s="151">
        <v>-2643</v>
      </c>
      <c r="H201" s="152"/>
      <c r="I201" s="152"/>
      <c r="J201" s="152"/>
      <c r="K201" s="150">
        <v>63.5</v>
      </c>
      <c r="L201" s="151">
        <v>76</v>
      </c>
      <c r="M201" s="151">
        <v>3</v>
      </c>
      <c r="N201" s="154">
        <v>8594.445045890321</v>
      </c>
      <c r="O201" s="146">
        <v>305453</v>
      </c>
      <c r="P201" s="139">
        <v>218528</v>
      </c>
      <c r="Q201" s="139">
        <v>633492</v>
      </c>
      <c r="R201" s="139">
        <v>-414964</v>
      </c>
      <c r="S201" s="146">
        <v>263302</v>
      </c>
      <c r="T201" s="139">
        <v>170669</v>
      </c>
      <c r="U201" s="160"/>
      <c r="W201" s="138">
        <v>2059</v>
      </c>
      <c r="X201" s="138">
        <v>4496</v>
      </c>
      <c r="Y201" s="139">
        <v>25562</v>
      </c>
      <c r="Z201" s="138">
        <v>25300</v>
      </c>
      <c r="AA201" s="138">
        <v>16963</v>
      </c>
      <c r="AB201" s="138">
        <v>480</v>
      </c>
      <c r="AC201" s="139">
        <v>16745</v>
      </c>
      <c r="AE201" s="139">
        <v>-1243</v>
      </c>
      <c r="AF201" s="138">
        <v>-928</v>
      </c>
      <c r="AG201" s="139">
        <v>14574</v>
      </c>
      <c r="AH201" s="139">
        <v>48026</v>
      </c>
      <c r="AI201" s="139">
        <v>22452</v>
      </c>
      <c r="AJ201" s="176"/>
      <c r="AK201" s="138">
        <v>-11688</v>
      </c>
      <c r="AL201" s="151">
        <v>-28427</v>
      </c>
      <c r="AM201" s="151">
        <v>-30074</v>
      </c>
      <c r="AN201" s="146">
        <v>263302</v>
      </c>
      <c r="AO201" s="139">
        <v>232713</v>
      </c>
      <c r="AP201" s="139">
        <v>16292</v>
      </c>
      <c r="AQ201" s="139">
        <v>14297</v>
      </c>
      <c r="AR201" s="114">
        <v>18.75</v>
      </c>
      <c r="AS201" s="152"/>
      <c r="AT201" s="138">
        <v>121</v>
      </c>
      <c r="AU201" s="191">
        <v>83285</v>
      </c>
      <c r="AV201" s="146"/>
      <c r="AW201" s="150">
        <v>0.8252262605947421</v>
      </c>
      <c r="AX201" s="150">
        <v>50.8</v>
      </c>
      <c r="AY201" s="151">
        <v>-3087</v>
      </c>
      <c r="AZ201" s="152"/>
      <c r="BA201" s="152"/>
      <c r="BB201" s="152"/>
      <c r="BC201" s="150">
        <v>60.5</v>
      </c>
      <c r="BD201" s="151">
        <v>217</v>
      </c>
      <c r="BE201" s="151">
        <v>9</v>
      </c>
      <c r="BF201" s="154">
        <v>8474.539232754998</v>
      </c>
      <c r="BG201" s="146">
        <v>285510</v>
      </c>
      <c r="BH201" s="139">
        <v>224050</v>
      </c>
      <c r="BI201" s="139">
        <v>627419</v>
      </c>
      <c r="BJ201" s="139">
        <v>-403369</v>
      </c>
      <c r="BK201" s="146">
        <v>277154</v>
      </c>
      <c r="BL201" s="146">
        <v>139952</v>
      </c>
      <c r="BM201" s="160"/>
      <c r="BO201" s="138">
        <v>2091</v>
      </c>
      <c r="BP201" s="138">
        <v>8594</v>
      </c>
      <c r="BQ201" s="139">
        <v>24422</v>
      </c>
      <c r="BR201" s="138">
        <v>39568</v>
      </c>
      <c r="BS201" s="138">
        <v>14400</v>
      </c>
      <c r="BT201" s="138">
        <v>169</v>
      </c>
      <c r="BU201" s="139">
        <v>-915</v>
      </c>
      <c r="BV201" s="138">
        <v>-904</v>
      </c>
      <c r="BW201" s="139">
        <v>904</v>
      </c>
      <c r="BX201" s="138">
        <v>11533</v>
      </c>
      <c r="BY201" s="138">
        <v>10618</v>
      </c>
      <c r="BZ201" s="139">
        <v>57757</v>
      </c>
      <c r="CA201" s="139">
        <v>19830</v>
      </c>
      <c r="CB201" s="176"/>
      <c r="CC201" s="138">
        <v>8379</v>
      </c>
      <c r="CD201" s="151">
        <v>-30505</v>
      </c>
      <c r="CE201" s="151">
        <v>-38031</v>
      </c>
      <c r="CF201" s="138">
        <v>277154</v>
      </c>
      <c r="CG201" s="139">
        <v>248122</v>
      </c>
      <c r="CH201" s="139">
        <v>13319</v>
      </c>
      <c r="CI201" s="139">
        <v>15713</v>
      </c>
      <c r="CJ201" s="114">
        <v>19.25</v>
      </c>
      <c r="CK201" s="152"/>
      <c r="CL201" s="138">
        <v>69</v>
      </c>
      <c r="CM201" s="190">
        <v>83497</v>
      </c>
      <c r="CN201" s="146"/>
      <c r="CO201" s="150">
        <v>1.152553728804824</v>
      </c>
      <c r="CP201" s="150">
        <v>51.962224653284615</v>
      </c>
      <c r="CQ201" s="151">
        <v>-3144.6519036612094</v>
      </c>
      <c r="CR201" s="152"/>
      <c r="CS201" s="152"/>
      <c r="CT201" s="152"/>
      <c r="CU201" s="150">
        <v>59.48331402059368</v>
      </c>
      <c r="CV201" s="151">
        <v>304.6097464579566</v>
      </c>
      <c r="CW201" s="151">
        <v>13.588905104360464</v>
      </c>
      <c r="CX201" s="154">
        <v>8181.862821418733</v>
      </c>
      <c r="CY201" s="146">
        <v>279761</v>
      </c>
      <c r="CZ201" s="139">
        <v>220798</v>
      </c>
      <c r="DA201" s="139">
        <v>619545</v>
      </c>
      <c r="DB201" s="139">
        <v>-398747</v>
      </c>
      <c r="DC201" s="146">
        <v>296042</v>
      </c>
      <c r="DD201" s="146">
        <v>136014</v>
      </c>
      <c r="DE201" s="160"/>
      <c r="DG201" s="138">
        <v>2851</v>
      </c>
      <c r="DH201" s="138">
        <v>5140</v>
      </c>
      <c r="DI201" s="139">
        <v>41300</v>
      </c>
      <c r="DJ201" s="138">
        <v>43201</v>
      </c>
      <c r="DL201" s="138">
        <v>2427</v>
      </c>
      <c r="DM201" s="139">
        <v>-4328</v>
      </c>
      <c r="DN201" s="138">
        <v>-63</v>
      </c>
      <c r="DO201" s="139">
        <v>96</v>
      </c>
      <c r="DP201" s="138">
        <v>4922</v>
      </c>
      <c r="DQ201" s="138">
        <v>627</v>
      </c>
      <c r="DR201" s="139">
        <v>56928</v>
      </c>
      <c r="DS201" s="139">
        <v>30584</v>
      </c>
      <c r="DT201" s="176"/>
      <c r="DU201" s="138">
        <v>-3088</v>
      </c>
      <c r="DV201" s="151">
        <v>-35380</v>
      </c>
      <c r="DW201" s="138">
        <v>-2681</v>
      </c>
      <c r="DX201" s="138">
        <v>296042</v>
      </c>
      <c r="DY201" s="146">
        <v>261039</v>
      </c>
      <c r="DZ201" s="196">
        <v>15495</v>
      </c>
      <c r="EA201" s="146">
        <v>19508</v>
      </c>
      <c r="EB201" s="114">
        <v>19.25</v>
      </c>
      <c r="EC201" s="152"/>
      <c r="ED201" s="138">
        <v>60</v>
      </c>
      <c r="EE201" s="138">
        <v>208636</v>
      </c>
      <c r="EF201" s="138">
        <v>222257</v>
      </c>
      <c r="EG201" s="138">
        <v>215974</v>
      </c>
      <c r="EH201" s="138"/>
      <c r="EI201" s="138"/>
      <c r="EJ201" s="138"/>
      <c r="EK201" s="3">
        <v>-59771</v>
      </c>
      <c r="EL201" s="138">
        <v>1409</v>
      </c>
      <c r="EM201" s="138">
        <v>5836</v>
      </c>
      <c r="EN201" s="3">
        <v>-64112</v>
      </c>
      <c r="EO201" s="138">
        <v>1724</v>
      </c>
      <c r="EP201" s="138">
        <v>4527</v>
      </c>
      <c r="EQ201" s="3">
        <v>-43218</v>
      </c>
      <c r="ER201" s="138">
        <v>2391</v>
      </c>
      <c r="ES201" s="138">
        <v>7562</v>
      </c>
      <c r="ET201" s="163">
        <v>47000</v>
      </c>
      <c r="EU201" s="163">
        <v>431</v>
      </c>
      <c r="EV201" s="138">
        <v>60300</v>
      </c>
      <c r="EW201" s="138">
        <v>9569</v>
      </c>
      <c r="EX201" s="138">
        <v>54800</v>
      </c>
      <c r="EY201" s="138"/>
      <c r="EZ201" s="138">
        <v>177264</v>
      </c>
      <c r="FA201" s="138">
        <v>139421</v>
      </c>
      <c r="FB201" s="138">
        <v>37843</v>
      </c>
      <c r="FC201" s="138">
        <v>127830</v>
      </c>
      <c r="FD201" s="138">
        <v>216627</v>
      </c>
      <c r="FE201" s="138">
        <v>163994</v>
      </c>
      <c r="FF201" s="138">
        <v>52633</v>
      </c>
      <c r="FG201" s="138">
        <v>126585</v>
      </c>
      <c r="FH201" s="138">
        <v>236049</v>
      </c>
      <c r="FI201" s="138">
        <v>179874</v>
      </c>
      <c r="FJ201" s="138">
        <v>56175</v>
      </c>
      <c r="FK201" s="138">
        <v>124435</v>
      </c>
      <c r="FL201" s="147">
        <v>4149</v>
      </c>
      <c r="FM201" s="147">
        <v>4642.9489103680135</v>
      </c>
      <c r="FO201" s="181">
        <f t="shared" si="9"/>
        <v>13560.467532467532</v>
      </c>
      <c r="FP201" s="179">
        <f t="shared" si="11"/>
        <v>162.40664374130245</v>
      </c>
      <c r="FR201" s="184"/>
      <c r="FV201" s="184">
        <v>28427</v>
      </c>
      <c r="FW201" s="2">
        <f t="shared" si="10"/>
        <v>-28427</v>
      </c>
    </row>
    <row r="202" spans="1:179" ht="12.75">
      <c r="A202" s="82">
        <v>611</v>
      </c>
      <c r="B202" s="80" t="s">
        <v>194</v>
      </c>
      <c r="C202" s="191">
        <v>5122</v>
      </c>
      <c r="D202" s="146"/>
      <c r="E202" s="150">
        <v>1.7184241019698725</v>
      </c>
      <c r="F202" s="150">
        <v>46.9</v>
      </c>
      <c r="G202" s="151">
        <v>-2063</v>
      </c>
      <c r="H202" s="152"/>
      <c r="I202" s="152"/>
      <c r="J202" s="152"/>
      <c r="K202" s="150">
        <v>53.5</v>
      </c>
      <c r="L202" s="151">
        <v>278</v>
      </c>
      <c r="M202" s="151">
        <v>20</v>
      </c>
      <c r="N202" s="154">
        <v>5108.356110894182</v>
      </c>
      <c r="O202" s="146">
        <v>6522</v>
      </c>
      <c r="P202" s="139">
        <v>3228</v>
      </c>
      <c r="Q202" s="139">
        <v>23498</v>
      </c>
      <c r="R202" s="139">
        <v>-20270</v>
      </c>
      <c r="S202" s="146">
        <v>16533</v>
      </c>
      <c r="T202" s="139">
        <v>6660</v>
      </c>
      <c r="U202" s="160"/>
      <c r="W202" s="138">
        <v>-243</v>
      </c>
      <c r="X202" s="138">
        <v>1</v>
      </c>
      <c r="Y202" s="139">
        <v>2681</v>
      </c>
      <c r="Z202" s="138">
        <v>1362</v>
      </c>
      <c r="AC202" s="139">
        <v>1319</v>
      </c>
      <c r="AG202" s="139">
        <v>1319</v>
      </c>
      <c r="AH202" s="139">
        <v>6368</v>
      </c>
      <c r="AI202" s="139">
        <v>2003</v>
      </c>
      <c r="AJ202" s="176"/>
      <c r="AK202" s="139">
        <v>78</v>
      </c>
      <c r="AL202" s="151">
        <v>-1441</v>
      </c>
      <c r="AM202" s="151">
        <v>1991</v>
      </c>
      <c r="AN202" s="146">
        <v>16533</v>
      </c>
      <c r="AO202" s="139">
        <v>15300</v>
      </c>
      <c r="AP202" s="139">
        <v>348</v>
      </c>
      <c r="AQ202" s="139">
        <v>885</v>
      </c>
      <c r="AR202" s="114">
        <v>19.5</v>
      </c>
      <c r="AS202" s="152"/>
      <c r="AT202" s="138">
        <v>32</v>
      </c>
      <c r="AU202" s="191">
        <v>5137</v>
      </c>
      <c r="AV202" s="146"/>
      <c r="AW202" s="150">
        <v>0.4197412553905127</v>
      </c>
      <c r="AX202" s="150">
        <v>47.9</v>
      </c>
      <c r="AY202" s="151">
        <v>-2233</v>
      </c>
      <c r="AZ202" s="152"/>
      <c r="BA202" s="152"/>
      <c r="BB202" s="152"/>
      <c r="BC202" s="150">
        <v>52.7</v>
      </c>
      <c r="BD202" s="151">
        <v>58</v>
      </c>
      <c r="BE202" s="151">
        <v>4</v>
      </c>
      <c r="BF202" s="154">
        <v>5547.011874635001</v>
      </c>
      <c r="BG202" s="146">
        <v>6869</v>
      </c>
      <c r="BH202" s="139">
        <v>3000</v>
      </c>
      <c r="BI202" s="139">
        <v>24769</v>
      </c>
      <c r="BJ202" s="139">
        <v>-21769</v>
      </c>
      <c r="BK202" s="146">
        <v>16464</v>
      </c>
      <c r="BL202" s="146">
        <v>6124</v>
      </c>
      <c r="BM202" s="160"/>
      <c r="BO202" s="138">
        <v>-145</v>
      </c>
      <c r="BP202" s="138">
        <v>24</v>
      </c>
      <c r="BQ202" s="139">
        <v>698</v>
      </c>
      <c r="BR202" s="138">
        <v>1365</v>
      </c>
      <c r="BU202" s="139">
        <v>-667</v>
      </c>
      <c r="BY202" s="138">
        <v>-667</v>
      </c>
      <c r="BZ202" s="139">
        <v>5701</v>
      </c>
      <c r="CA202" s="139">
        <v>401</v>
      </c>
      <c r="CB202" s="176"/>
      <c r="CC202" s="139">
        <v>-87</v>
      </c>
      <c r="CD202" s="151">
        <v>-1909</v>
      </c>
      <c r="CE202" s="151">
        <v>-908</v>
      </c>
      <c r="CF202" s="138">
        <v>16464</v>
      </c>
      <c r="CG202" s="139">
        <v>15255</v>
      </c>
      <c r="CH202" s="139">
        <v>248</v>
      </c>
      <c r="CI202" s="139">
        <v>961</v>
      </c>
      <c r="CJ202" s="114">
        <v>19.5</v>
      </c>
      <c r="CK202" s="152"/>
      <c r="CL202" s="138">
        <v>165</v>
      </c>
      <c r="CM202" s="190">
        <v>5145</v>
      </c>
      <c r="CN202" s="146"/>
      <c r="CO202" s="150">
        <v>0.5898998693948628</v>
      </c>
      <c r="CP202" s="150">
        <v>50.96803073824001</v>
      </c>
      <c r="CQ202" s="151">
        <v>-2412.439261418853</v>
      </c>
      <c r="CR202" s="152"/>
      <c r="CS202" s="152"/>
      <c r="CT202" s="152"/>
      <c r="CU202" s="150">
        <v>49.572649572649574</v>
      </c>
      <c r="CV202" s="151">
        <v>134.11078717201167</v>
      </c>
      <c r="CW202" s="151">
        <v>8.13758118194449</v>
      </c>
      <c r="CX202" s="154">
        <v>6015.354713313897</v>
      </c>
      <c r="CY202" s="146">
        <v>6858</v>
      </c>
      <c r="CZ202" s="139">
        <v>3027</v>
      </c>
      <c r="DA202" s="139">
        <v>25490</v>
      </c>
      <c r="DB202" s="139">
        <v>-22463</v>
      </c>
      <c r="DC202" s="146">
        <v>17743</v>
      </c>
      <c r="DD202" s="146">
        <v>6037</v>
      </c>
      <c r="DE202" s="160"/>
      <c r="DG202" s="138">
        <v>-83</v>
      </c>
      <c r="DH202" s="138">
        <v>6</v>
      </c>
      <c r="DI202" s="139">
        <v>1240</v>
      </c>
      <c r="DJ202" s="138">
        <v>1474</v>
      </c>
      <c r="DM202" s="139">
        <v>-234</v>
      </c>
      <c r="DQ202" s="138">
        <v>-234</v>
      </c>
      <c r="DR202" s="139">
        <v>5466</v>
      </c>
      <c r="DS202" s="139">
        <v>1061</v>
      </c>
      <c r="DT202" s="176"/>
      <c r="DU202" s="139">
        <v>-65</v>
      </c>
      <c r="DV202" s="151">
        <v>-2182</v>
      </c>
      <c r="DW202" s="138">
        <v>-913</v>
      </c>
      <c r="DX202" s="138">
        <v>17743</v>
      </c>
      <c r="DY202" s="146">
        <v>16421</v>
      </c>
      <c r="DZ202" s="196">
        <v>302</v>
      </c>
      <c r="EA202" s="146">
        <v>1020</v>
      </c>
      <c r="EB202" s="114">
        <v>19.5</v>
      </c>
      <c r="EC202" s="152"/>
      <c r="ED202" s="138">
        <v>175</v>
      </c>
      <c r="EE202" s="138">
        <v>15438</v>
      </c>
      <c r="EF202" s="138">
        <v>16307</v>
      </c>
      <c r="EG202" s="138">
        <v>17049</v>
      </c>
      <c r="EH202" s="138"/>
      <c r="EI202" s="138"/>
      <c r="EJ202" s="138"/>
      <c r="EK202" s="3">
        <v>-940</v>
      </c>
      <c r="EL202" s="138">
        <v>11</v>
      </c>
      <c r="EM202" s="138">
        <v>917</v>
      </c>
      <c r="EN202" s="3">
        <v>-1638</v>
      </c>
      <c r="EO202" s="138"/>
      <c r="EP202" s="138">
        <v>329</v>
      </c>
      <c r="EQ202" s="3">
        <v>-3161</v>
      </c>
      <c r="ER202" s="138">
        <v>955</v>
      </c>
      <c r="ES202" s="138">
        <v>232</v>
      </c>
      <c r="ET202" s="163"/>
      <c r="EU202" s="163"/>
      <c r="EV202" s="138"/>
      <c r="EW202" s="138">
        <v>1500</v>
      </c>
      <c r="EX202" s="138">
        <v>4850</v>
      </c>
      <c r="EY202" s="138">
        <v>-1500</v>
      </c>
      <c r="EZ202" s="138">
        <v>10182</v>
      </c>
      <c r="FA202" s="138">
        <v>8273</v>
      </c>
      <c r="FB202" s="138">
        <v>1909</v>
      </c>
      <c r="FC202" s="138">
        <v>0</v>
      </c>
      <c r="FD202" s="138">
        <v>9773</v>
      </c>
      <c r="FE202" s="138">
        <v>6091</v>
      </c>
      <c r="FF202" s="138">
        <v>3682</v>
      </c>
      <c r="FG202" s="138">
        <v>0</v>
      </c>
      <c r="FH202" s="138">
        <v>10941</v>
      </c>
      <c r="FI202" s="138">
        <v>8759</v>
      </c>
      <c r="FJ202" s="138">
        <v>2182</v>
      </c>
      <c r="FK202" s="138">
        <v>0</v>
      </c>
      <c r="FL202" s="147">
        <v>2185</v>
      </c>
      <c r="FM202" s="147">
        <v>2131.3996496009345</v>
      </c>
      <c r="FO202" s="181">
        <f t="shared" si="9"/>
        <v>842.1025641025641</v>
      </c>
      <c r="FP202" s="179">
        <f t="shared" si="11"/>
        <v>163.67396775560042</v>
      </c>
      <c r="FR202" s="184"/>
      <c r="FV202" s="184">
        <v>1441</v>
      </c>
      <c r="FW202" s="2">
        <f t="shared" si="10"/>
        <v>-1441</v>
      </c>
    </row>
    <row r="203" spans="1:179" ht="12.75">
      <c r="A203" s="82">
        <v>638</v>
      </c>
      <c r="B203" s="80" t="s">
        <v>208</v>
      </c>
      <c r="C203" s="191">
        <v>48833</v>
      </c>
      <c r="D203" s="146"/>
      <c r="E203" s="150">
        <v>1.2334948042815845</v>
      </c>
      <c r="F203" s="150">
        <v>56.8</v>
      </c>
      <c r="G203" s="151">
        <v>-2711</v>
      </c>
      <c r="H203" s="152"/>
      <c r="I203" s="152"/>
      <c r="J203" s="152"/>
      <c r="K203" s="150">
        <v>46.5</v>
      </c>
      <c r="L203" s="151">
        <v>516</v>
      </c>
      <c r="M203" s="151">
        <v>29</v>
      </c>
      <c r="N203" s="154">
        <v>5707.4928839104705</v>
      </c>
      <c r="O203" s="146">
        <v>135776</v>
      </c>
      <c r="P203" s="139">
        <v>58065</v>
      </c>
      <c r="Q203" s="139">
        <v>270008</v>
      </c>
      <c r="R203" s="139">
        <v>-211943</v>
      </c>
      <c r="S203" s="146">
        <v>195063</v>
      </c>
      <c r="T203" s="139">
        <v>49577</v>
      </c>
      <c r="U203" s="160"/>
      <c r="W203" s="138">
        <v>-3418</v>
      </c>
      <c r="X203" s="138">
        <v>2177</v>
      </c>
      <c r="Y203" s="139">
        <v>31456</v>
      </c>
      <c r="Z203" s="138">
        <v>24664</v>
      </c>
      <c r="AA203" s="139"/>
      <c r="AB203" s="139"/>
      <c r="AC203" s="139">
        <v>6792</v>
      </c>
      <c r="AD203" s="138">
        <v>-177</v>
      </c>
      <c r="AE203" s="139">
        <v>-438</v>
      </c>
      <c r="AF203" s="139">
        <v>-3000</v>
      </c>
      <c r="AG203" s="139">
        <v>3177</v>
      </c>
      <c r="AH203" s="139">
        <v>59654</v>
      </c>
      <c r="AI203" s="139">
        <v>23093</v>
      </c>
      <c r="AJ203" s="176"/>
      <c r="AK203" s="138">
        <v>-959</v>
      </c>
      <c r="AL203" s="151">
        <v>-25479</v>
      </c>
      <c r="AM203" s="151">
        <v>10707</v>
      </c>
      <c r="AN203" s="146">
        <v>195063</v>
      </c>
      <c r="AO203" s="139">
        <v>167174</v>
      </c>
      <c r="AP203" s="139">
        <v>16514</v>
      </c>
      <c r="AQ203" s="139">
        <v>11375</v>
      </c>
      <c r="AR203" s="114">
        <v>19.25</v>
      </c>
      <c r="AS203" s="152"/>
      <c r="AT203" s="138">
        <v>19</v>
      </c>
      <c r="AU203" s="191">
        <v>49028</v>
      </c>
      <c r="AV203" s="146"/>
      <c r="AW203" s="150">
        <v>0.7589395120864432</v>
      </c>
      <c r="AX203" s="150">
        <v>56.3</v>
      </c>
      <c r="AY203" s="151">
        <v>-2785</v>
      </c>
      <c r="AZ203" s="152"/>
      <c r="BA203" s="152"/>
      <c r="BB203" s="152"/>
      <c r="BC203" s="150">
        <v>45.1</v>
      </c>
      <c r="BD203" s="151">
        <v>432</v>
      </c>
      <c r="BE203" s="151">
        <v>23</v>
      </c>
      <c r="BF203" s="154">
        <v>6947.213836991107</v>
      </c>
      <c r="BG203" s="146">
        <v>144585</v>
      </c>
      <c r="BH203" s="139">
        <v>64440</v>
      </c>
      <c r="BI203" s="139">
        <v>290866</v>
      </c>
      <c r="BJ203" s="139">
        <v>-226426</v>
      </c>
      <c r="BK203" s="146">
        <v>193795</v>
      </c>
      <c r="BL203" s="146">
        <v>50582</v>
      </c>
      <c r="BM203" s="160"/>
      <c r="BO203" s="138">
        <v>-2758</v>
      </c>
      <c r="BP203" s="138">
        <v>2314</v>
      </c>
      <c r="BQ203" s="139">
        <v>17507</v>
      </c>
      <c r="BR203" s="138">
        <v>25050</v>
      </c>
      <c r="BS203" s="139"/>
      <c r="BT203" s="139"/>
      <c r="BU203" s="139">
        <v>-7543</v>
      </c>
      <c r="BV203" s="138">
        <v>-209</v>
      </c>
      <c r="BW203" s="139">
        <v>1372</v>
      </c>
      <c r="BX203" s="139">
        <v>976</v>
      </c>
      <c r="BY203" s="138">
        <v>-5404</v>
      </c>
      <c r="BZ203" s="139">
        <v>54250</v>
      </c>
      <c r="CA203" s="139">
        <v>11017</v>
      </c>
      <c r="CB203" s="176"/>
      <c r="CC203" s="138">
        <v>-1426</v>
      </c>
      <c r="CD203" s="151">
        <v>-23999</v>
      </c>
      <c r="CE203" s="151">
        <v>-2266</v>
      </c>
      <c r="CF203" s="138">
        <v>193795</v>
      </c>
      <c r="CG203" s="139">
        <v>166872</v>
      </c>
      <c r="CH203" s="139">
        <v>14443</v>
      </c>
      <c r="CI203" s="139">
        <v>12480</v>
      </c>
      <c r="CJ203" s="114">
        <v>19.25</v>
      </c>
      <c r="CK203" s="152"/>
      <c r="CL203" s="138">
        <v>51</v>
      </c>
      <c r="CM203" s="190">
        <v>49426</v>
      </c>
      <c r="CN203" s="146"/>
      <c r="CO203" s="150">
        <v>1.1981028267880858</v>
      </c>
      <c r="CP203" s="150">
        <v>49.47793523309004</v>
      </c>
      <c r="CQ203" s="151">
        <v>-2429.9356613927894</v>
      </c>
      <c r="CR203" s="152"/>
      <c r="CS203" s="152"/>
      <c r="CT203" s="152"/>
      <c r="CU203" s="150">
        <v>45.888185856163005</v>
      </c>
      <c r="CV203" s="151">
        <v>585.7038805486991</v>
      </c>
      <c r="CW203" s="151">
        <v>30.73052873429502</v>
      </c>
      <c r="CX203" s="154">
        <v>6956.662485331606</v>
      </c>
      <c r="CY203" s="146">
        <v>149682</v>
      </c>
      <c r="CZ203" s="139">
        <v>69802</v>
      </c>
      <c r="DA203" s="139">
        <v>302437</v>
      </c>
      <c r="DB203" s="139">
        <v>-232635</v>
      </c>
      <c r="DC203" s="146">
        <v>209769</v>
      </c>
      <c r="DD203" s="146">
        <v>52016</v>
      </c>
      <c r="DE203" s="160"/>
      <c r="DG203" s="138">
        <v>-2121</v>
      </c>
      <c r="DH203" s="138">
        <v>2332</v>
      </c>
      <c r="DI203" s="139">
        <v>29361</v>
      </c>
      <c r="DJ203" s="138">
        <v>30641</v>
      </c>
      <c r="DK203" s="139"/>
      <c r="DL203" s="139"/>
      <c r="DM203" s="139">
        <v>-1280</v>
      </c>
      <c r="DN203" s="138">
        <v>-25</v>
      </c>
      <c r="DO203" s="139">
        <v>-563</v>
      </c>
      <c r="DP203" s="139">
        <v>194</v>
      </c>
      <c r="DQ203" s="138">
        <v>-1674</v>
      </c>
      <c r="DR203" s="139">
        <v>52576</v>
      </c>
      <c r="DS203" s="139">
        <v>23604</v>
      </c>
      <c r="DT203" s="176"/>
      <c r="DU203" s="138">
        <v>1142</v>
      </c>
      <c r="DV203" s="151">
        <v>-24140</v>
      </c>
      <c r="DW203" s="138">
        <v>16551</v>
      </c>
      <c r="DX203" s="138">
        <v>209769</v>
      </c>
      <c r="DY203" s="146">
        <v>179781</v>
      </c>
      <c r="DZ203" s="196">
        <v>16753</v>
      </c>
      <c r="EA203" s="146">
        <v>13235</v>
      </c>
      <c r="EB203" s="114">
        <v>19.25</v>
      </c>
      <c r="EC203" s="152"/>
      <c r="ED203" s="138">
        <v>35</v>
      </c>
      <c r="EE203" s="138">
        <v>96500</v>
      </c>
      <c r="EF203" s="138">
        <v>103508</v>
      </c>
      <c r="EG203" s="138">
        <v>106111</v>
      </c>
      <c r="EH203" s="138"/>
      <c r="EI203" s="138"/>
      <c r="EJ203" s="138"/>
      <c r="EK203" s="3">
        <v>-22966</v>
      </c>
      <c r="EL203" s="138">
        <v>1866</v>
      </c>
      <c r="EM203" s="138">
        <v>8714</v>
      </c>
      <c r="EN203" s="3">
        <v>-21894</v>
      </c>
      <c r="EO203" s="138">
        <v>1802</v>
      </c>
      <c r="EP203" s="138">
        <v>6809</v>
      </c>
      <c r="EQ203" s="3">
        <v>-16278</v>
      </c>
      <c r="ER203" s="138">
        <v>815</v>
      </c>
      <c r="ES203" s="138">
        <v>8410</v>
      </c>
      <c r="ET203" s="163">
        <v>10000</v>
      </c>
      <c r="EU203" s="163"/>
      <c r="EV203" s="138">
        <v>20000</v>
      </c>
      <c r="EW203" s="138"/>
      <c r="EX203" s="138">
        <v>12000</v>
      </c>
      <c r="EY203" s="138"/>
      <c r="EZ203" s="138">
        <v>134588</v>
      </c>
      <c r="FA203" s="138">
        <v>110498</v>
      </c>
      <c r="FB203" s="138">
        <v>24090</v>
      </c>
      <c r="FC203" s="138">
        <v>174</v>
      </c>
      <c r="FD203" s="138">
        <v>130589</v>
      </c>
      <c r="FE203" s="138">
        <v>106449</v>
      </c>
      <c r="FF203" s="138">
        <v>24140</v>
      </c>
      <c r="FG203" s="138">
        <v>1866</v>
      </c>
      <c r="FH203" s="138">
        <v>118449</v>
      </c>
      <c r="FI203" s="138">
        <v>85785</v>
      </c>
      <c r="FJ203" s="138">
        <v>32664</v>
      </c>
      <c r="FK203" s="138">
        <v>1866</v>
      </c>
      <c r="FL203" s="147">
        <v>5576</v>
      </c>
      <c r="FM203" s="147">
        <v>5608.713388267929</v>
      </c>
      <c r="FO203" s="181">
        <f t="shared" si="9"/>
        <v>9339.272727272728</v>
      </c>
      <c r="FP203" s="179">
        <f t="shared" si="11"/>
        <v>188.95465397306535</v>
      </c>
      <c r="FR203" s="184"/>
      <c r="FV203" s="184">
        <v>25479</v>
      </c>
      <c r="FW203" s="2">
        <f t="shared" si="10"/>
        <v>-25479</v>
      </c>
    </row>
    <row r="204" spans="1:179" ht="12.75">
      <c r="A204" s="82">
        <v>614</v>
      </c>
      <c r="B204" s="80" t="s">
        <v>195</v>
      </c>
      <c r="C204" s="191">
        <v>3818</v>
      </c>
      <c r="D204" s="146"/>
      <c r="E204" s="150">
        <v>0.7224100218731359</v>
      </c>
      <c r="F204" s="150">
        <v>52.7</v>
      </c>
      <c r="G204" s="151">
        <v>-2112</v>
      </c>
      <c r="H204" s="152"/>
      <c r="I204" s="152"/>
      <c r="J204" s="152"/>
      <c r="K204" s="150">
        <v>57.2</v>
      </c>
      <c r="L204" s="151">
        <v>1718</v>
      </c>
      <c r="M204" s="151">
        <v>65</v>
      </c>
      <c r="N204" s="154">
        <v>21268.727082242014</v>
      </c>
      <c r="O204" s="146">
        <v>17655</v>
      </c>
      <c r="P204" s="139">
        <v>8432</v>
      </c>
      <c r="Q204" s="139">
        <v>32282</v>
      </c>
      <c r="R204" s="139">
        <v>-23850</v>
      </c>
      <c r="S204" s="146">
        <v>9654</v>
      </c>
      <c r="T204" s="139">
        <v>14238</v>
      </c>
      <c r="U204" s="160"/>
      <c r="W204" s="138">
        <v>-300</v>
      </c>
      <c r="X204" s="138">
        <v>164</v>
      </c>
      <c r="Y204" s="139">
        <v>-94</v>
      </c>
      <c r="Z204" s="138">
        <v>1134</v>
      </c>
      <c r="AC204" s="139">
        <v>-1228</v>
      </c>
      <c r="AD204" s="138">
        <v>198</v>
      </c>
      <c r="AG204" s="139">
        <v>-1030</v>
      </c>
      <c r="AH204" s="139">
        <v>1329</v>
      </c>
      <c r="AI204" s="139">
        <v>-51</v>
      </c>
      <c r="AJ204" s="176"/>
      <c r="AK204" s="139">
        <v>-105</v>
      </c>
      <c r="AL204" s="151">
        <v>-1302</v>
      </c>
      <c r="AM204" s="151">
        <v>-1651</v>
      </c>
      <c r="AN204" s="146">
        <v>9654</v>
      </c>
      <c r="AO204" s="139">
        <v>8021</v>
      </c>
      <c r="AP204" s="139">
        <v>831</v>
      </c>
      <c r="AQ204" s="139">
        <v>802</v>
      </c>
      <c r="AR204" s="114">
        <v>20.5</v>
      </c>
      <c r="AS204" s="152"/>
      <c r="AT204" s="138">
        <v>293</v>
      </c>
      <c r="AU204" s="191">
        <v>3738</v>
      </c>
      <c r="AV204" s="146"/>
      <c r="AW204" s="150">
        <v>-0.09223584354932866</v>
      </c>
      <c r="AX204" s="150">
        <v>52.1</v>
      </c>
      <c r="AY204" s="151">
        <v>-2500</v>
      </c>
      <c r="AZ204" s="152"/>
      <c r="BA204" s="152"/>
      <c r="BB204" s="152"/>
      <c r="BC204" s="150">
        <v>55.6</v>
      </c>
      <c r="BD204" s="151">
        <v>1791</v>
      </c>
      <c r="BE204" s="151">
        <v>68</v>
      </c>
      <c r="BF204" s="154">
        <v>9626.80577849117</v>
      </c>
      <c r="BG204" s="146">
        <v>17415</v>
      </c>
      <c r="BH204" s="139">
        <v>8553</v>
      </c>
      <c r="BI204" s="139">
        <v>33072</v>
      </c>
      <c r="BJ204" s="139">
        <v>-24518</v>
      </c>
      <c r="BK204" s="146">
        <v>9401</v>
      </c>
      <c r="BL204" s="146">
        <v>14647</v>
      </c>
      <c r="BM204" s="160"/>
      <c r="BO204" s="138">
        <v>-299</v>
      </c>
      <c r="BP204" s="138">
        <v>311</v>
      </c>
      <c r="BQ204" s="139">
        <v>-459</v>
      </c>
      <c r="BR204" s="138">
        <v>1082</v>
      </c>
      <c r="BU204" s="139">
        <v>-1540</v>
      </c>
      <c r="BV204" s="138">
        <v>179</v>
      </c>
      <c r="BY204" s="138">
        <v>-1362</v>
      </c>
      <c r="BZ204" s="139">
        <v>-34</v>
      </c>
      <c r="CA204" s="139">
        <v>-450</v>
      </c>
      <c r="CB204" s="176"/>
      <c r="CC204" s="139">
        <v>1471</v>
      </c>
      <c r="CD204" s="151">
        <v>-1412</v>
      </c>
      <c r="CE204" s="151">
        <v>-1302</v>
      </c>
      <c r="CF204" s="138">
        <v>9401</v>
      </c>
      <c r="CG204" s="139">
        <v>8063</v>
      </c>
      <c r="CH204" s="139">
        <v>513</v>
      </c>
      <c r="CI204" s="139">
        <v>825</v>
      </c>
      <c r="CJ204" s="114">
        <v>20.5</v>
      </c>
      <c r="CK204" s="152"/>
      <c r="CL204" s="138">
        <v>287</v>
      </c>
      <c r="CM204" s="190">
        <v>3647</v>
      </c>
      <c r="CN204" s="146"/>
      <c r="CO204" s="150">
        <v>0.23154761904761906</v>
      </c>
      <c r="CP204" s="150">
        <v>55.15915915915916</v>
      </c>
      <c r="CQ204" s="151">
        <v>-2679.7367699479023</v>
      </c>
      <c r="CR204" s="152"/>
      <c r="CS204" s="152"/>
      <c r="CT204" s="152"/>
      <c r="CU204" s="150">
        <v>52.24694306705781</v>
      </c>
      <c r="CV204" s="151">
        <v>2073.485056210584</v>
      </c>
      <c r="CW204" s="151">
        <v>77.49473565993767</v>
      </c>
      <c r="CX204" s="154">
        <v>9766.10913079243</v>
      </c>
      <c r="CY204" s="146">
        <v>17489</v>
      </c>
      <c r="CZ204" s="139">
        <v>8310</v>
      </c>
      <c r="DA204" s="139">
        <v>33200</v>
      </c>
      <c r="DB204" s="139">
        <v>-24890</v>
      </c>
      <c r="DC204" s="146">
        <v>9920</v>
      </c>
      <c r="DD204" s="146">
        <v>15070</v>
      </c>
      <c r="DE204" s="160"/>
      <c r="DG204" s="138">
        <v>-266</v>
      </c>
      <c r="DH204" s="138">
        <v>288</v>
      </c>
      <c r="DI204" s="139">
        <v>122</v>
      </c>
      <c r="DJ204" s="138">
        <v>1354</v>
      </c>
      <c r="DM204" s="139">
        <v>-1232</v>
      </c>
      <c r="DN204" s="138">
        <v>228</v>
      </c>
      <c r="DQ204" s="138">
        <v>-1004</v>
      </c>
      <c r="DR204" s="139">
        <v>-1037</v>
      </c>
      <c r="DS204" s="139">
        <v>94</v>
      </c>
      <c r="DT204" s="176"/>
      <c r="DU204" s="139">
        <v>-82</v>
      </c>
      <c r="DV204" s="151">
        <v>-1413</v>
      </c>
      <c r="DW204" s="138">
        <v>-470</v>
      </c>
      <c r="DX204" s="138">
        <v>9920</v>
      </c>
      <c r="DY204" s="146">
        <v>8475</v>
      </c>
      <c r="DZ204" s="196">
        <v>578</v>
      </c>
      <c r="EA204" s="146">
        <v>867</v>
      </c>
      <c r="EB204" s="114">
        <v>20.5</v>
      </c>
      <c r="EC204" s="152"/>
      <c r="ED204" s="138">
        <v>265</v>
      </c>
      <c r="EE204" s="138">
        <v>11494</v>
      </c>
      <c r="EF204" s="138">
        <v>12542</v>
      </c>
      <c r="EG204" s="138">
        <v>12695</v>
      </c>
      <c r="EH204" s="138"/>
      <c r="EI204" s="138"/>
      <c r="EJ204" s="138"/>
      <c r="EK204" s="3">
        <v>-2182</v>
      </c>
      <c r="EL204" s="138">
        <v>465</v>
      </c>
      <c r="EM204" s="138">
        <v>117</v>
      </c>
      <c r="EN204" s="3">
        <v>-900</v>
      </c>
      <c r="EO204" s="138"/>
      <c r="EP204" s="138">
        <v>48</v>
      </c>
      <c r="EQ204" s="3">
        <v>-644</v>
      </c>
      <c r="ER204" s="138">
        <v>44</v>
      </c>
      <c r="ES204" s="138">
        <v>36</v>
      </c>
      <c r="ET204" s="163">
        <v>2503</v>
      </c>
      <c r="EU204" s="163">
        <v>52</v>
      </c>
      <c r="EV204" s="138">
        <v>1300</v>
      </c>
      <c r="EW204" s="138">
        <v>107</v>
      </c>
      <c r="EX204" s="138">
        <v>2500</v>
      </c>
      <c r="EY204" s="138"/>
      <c r="EZ204" s="138">
        <v>12897</v>
      </c>
      <c r="FA204" s="138">
        <v>11595</v>
      </c>
      <c r="FB204" s="138">
        <v>1302</v>
      </c>
      <c r="FC204" s="138">
        <v>420</v>
      </c>
      <c r="FD204" s="138">
        <v>12890</v>
      </c>
      <c r="FE204" s="138">
        <v>11482</v>
      </c>
      <c r="FF204" s="138">
        <v>1407</v>
      </c>
      <c r="FG204" s="138">
        <v>420</v>
      </c>
      <c r="FH204" s="138">
        <v>13977</v>
      </c>
      <c r="FI204" s="138">
        <v>12591</v>
      </c>
      <c r="FJ204" s="138">
        <v>1386</v>
      </c>
      <c r="FK204" s="138">
        <v>420</v>
      </c>
      <c r="FL204" s="147">
        <v>3409</v>
      </c>
      <c r="FM204" s="147">
        <v>3922.4184055644732</v>
      </c>
      <c r="FO204" s="181">
        <f t="shared" si="9"/>
        <v>413.4146341463415</v>
      </c>
      <c r="FP204" s="179">
        <f t="shared" si="11"/>
        <v>113.35745383776843</v>
      </c>
      <c r="FR204" s="184"/>
      <c r="FV204" s="184">
        <v>1302</v>
      </c>
      <c r="FW204" s="2">
        <f t="shared" si="10"/>
        <v>-1302</v>
      </c>
    </row>
    <row r="205" spans="1:179" ht="12.75">
      <c r="A205" s="82">
        <v>615</v>
      </c>
      <c r="B205" s="80" t="s">
        <v>196</v>
      </c>
      <c r="C205" s="191">
        <v>8695</v>
      </c>
      <c r="D205" s="146"/>
      <c r="E205" s="150">
        <v>1.3840533672172808</v>
      </c>
      <c r="F205" s="150">
        <v>44.3</v>
      </c>
      <c r="G205" s="151">
        <v>-1271</v>
      </c>
      <c r="H205" s="152"/>
      <c r="I205" s="152"/>
      <c r="J205" s="152"/>
      <c r="K205" s="150">
        <v>65.9</v>
      </c>
      <c r="L205" s="151">
        <v>1597</v>
      </c>
      <c r="M205" s="151">
        <v>69</v>
      </c>
      <c r="N205" s="154">
        <v>7737.895342150661</v>
      </c>
      <c r="O205" s="146">
        <v>16331</v>
      </c>
      <c r="P205" s="139">
        <v>11032</v>
      </c>
      <c r="Q205" s="139">
        <v>62393</v>
      </c>
      <c r="R205" s="139">
        <v>-51361</v>
      </c>
      <c r="S205" s="146">
        <v>21808</v>
      </c>
      <c r="T205" s="139">
        <v>34211</v>
      </c>
      <c r="U205" s="160"/>
      <c r="W205" s="138">
        <v>-685</v>
      </c>
      <c r="X205" s="138">
        <v>81</v>
      </c>
      <c r="Y205" s="139">
        <v>4054</v>
      </c>
      <c r="Z205" s="138">
        <v>2743</v>
      </c>
      <c r="AC205" s="139">
        <v>1311</v>
      </c>
      <c r="AD205" s="139">
        <v>103</v>
      </c>
      <c r="AE205" s="139">
        <v>-1100</v>
      </c>
      <c r="AF205" s="138">
        <v>68</v>
      </c>
      <c r="AG205" s="139">
        <v>382</v>
      </c>
      <c r="AH205" s="139">
        <v>2503</v>
      </c>
      <c r="AI205" s="139">
        <v>3847</v>
      </c>
      <c r="AJ205" s="176"/>
      <c r="AK205" s="139">
        <v>1886</v>
      </c>
      <c r="AL205" s="151">
        <v>-2845</v>
      </c>
      <c r="AM205" s="151">
        <v>-2161</v>
      </c>
      <c r="AN205" s="146">
        <v>21808</v>
      </c>
      <c r="AO205" s="139">
        <v>17457</v>
      </c>
      <c r="AP205" s="139">
        <v>2837</v>
      </c>
      <c r="AQ205" s="139">
        <v>1514</v>
      </c>
      <c r="AR205" s="114">
        <v>20.5</v>
      </c>
      <c r="AS205" s="152"/>
      <c r="AT205" s="138">
        <v>48</v>
      </c>
      <c r="AU205" s="191">
        <v>8620</v>
      </c>
      <c r="AV205" s="146"/>
      <c r="AW205" s="150">
        <v>1.1662837449741528</v>
      </c>
      <c r="AX205" s="150">
        <v>45.5</v>
      </c>
      <c r="AY205" s="151">
        <v>-1510</v>
      </c>
      <c r="AZ205" s="152"/>
      <c r="BA205" s="152"/>
      <c r="BB205" s="152"/>
      <c r="BC205" s="150">
        <v>64.9</v>
      </c>
      <c r="BD205" s="151">
        <v>1585</v>
      </c>
      <c r="BE205" s="151">
        <v>67</v>
      </c>
      <c r="BF205" s="154">
        <v>8630.278422273783</v>
      </c>
      <c r="BG205" s="146">
        <v>16848</v>
      </c>
      <c r="BH205" s="139">
        <v>11841</v>
      </c>
      <c r="BI205" s="139">
        <v>65345</v>
      </c>
      <c r="BJ205" s="139">
        <v>-53504</v>
      </c>
      <c r="BK205" s="146">
        <v>21240</v>
      </c>
      <c r="BL205" s="146">
        <v>36009</v>
      </c>
      <c r="BM205" s="160"/>
      <c r="BO205" s="138">
        <v>-633</v>
      </c>
      <c r="BP205" s="138">
        <v>259</v>
      </c>
      <c r="BQ205" s="139">
        <v>3371</v>
      </c>
      <c r="BR205" s="138">
        <v>2767</v>
      </c>
      <c r="BU205" s="139">
        <v>604</v>
      </c>
      <c r="BV205" s="139">
        <v>103</v>
      </c>
      <c r="BW205" s="139">
        <v>2334</v>
      </c>
      <c r="BX205" s="138">
        <v>143</v>
      </c>
      <c r="BY205" s="138">
        <v>3184</v>
      </c>
      <c r="BZ205" s="139">
        <v>5670</v>
      </c>
      <c r="CA205" s="139">
        <v>3318</v>
      </c>
      <c r="CB205" s="176"/>
      <c r="CC205" s="139">
        <v>-40</v>
      </c>
      <c r="CD205" s="151">
        <v>-2792</v>
      </c>
      <c r="CE205" s="151">
        <v>-1927</v>
      </c>
      <c r="CF205" s="138">
        <v>21240</v>
      </c>
      <c r="CG205" s="139">
        <v>17858</v>
      </c>
      <c r="CH205" s="139">
        <v>1846</v>
      </c>
      <c r="CI205" s="139">
        <v>1536</v>
      </c>
      <c r="CJ205" s="114">
        <v>20.5</v>
      </c>
      <c r="CK205" s="152"/>
      <c r="CL205" s="138">
        <v>42</v>
      </c>
      <c r="CM205" s="190">
        <v>8537</v>
      </c>
      <c r="CN205" s="146"/>
      <c r="CO205" s="150">
        <v>1.7687173534532792</v>
      </c>
      <c r="CP205" s="150">
        <v>44.96591766162428</v>
      </c>
      <c r="CQ205" s="151">
        <v>-1733.395806489399</v>
      </c>
      <c r="CR205" s="152"/>
      <c r="CS205" s="152"/>
      <c r="CT205" s="152"/>
      <c r="CU205" s="150">
        <v>62.40355794098233</v>
      </c>
      <c r="CV205" s="151">
        <v>1454.1407988754831</v>
      </c>
      <c r="CW205" s="151">
        <v>59.022652372702524</v>
      </c>
      <c r="CX205" s="154">
        <v>8992.503221272109</v>
      </c>
      <c r="CY205" s="146">
        <v>16430</v>
      </c>
      <c r="CZ205" s="139">
        <v>10759</v>
      </c>
      <c r="DA205" s="139">
        <v>65658</v>
      </c>
      <c r="DB205" s="139">
        <v>-54899</v>
      </c>
      <c r="DC205" s="146">
        <v>22321</v>
      </c>
      <c r="DD205" s="146">
        <v>37304</v>
      </c>
      <c r="DE205" s="160"/>
      <c r="DG205" s="138">
        <v>-523</v>
      </c>
      <c r="DH205" s="138">
        <v>1335</v>
      </c>
      <c r="DI205" s="139">
        <v>5538</v>
      </c>
      <c r="DJ205" s="138">
        <v>3007</v>
      </c>
      <c r="DL205" s="138">
        <v>91</v>
      </c>
      <c r="DM205" s="139">
        <v>2440</v>
      </c>
      <c r="DN205" s="139">
        <v>103</v>
      </c>
      <c r="DO205" s="139">
        <v>1100</v>
      </c>
      <c r="DP205" s="138">
        <v>168</v>
      </c>
      <c r="DQ205" s="138">
        <v>3811</v>
      </c>
      <c r="DR205" s="139">
        <v>6449</v>
      </c>
      <c r="DS205" s="139">
        <v>8481</v>
      </c>
      <c r="DT205" s="176"/>
      <c r="DU205" s="139">
        <v>375</v>
      </c>
      <c r="DV205" s="151">
        <v>-2889</v>
      </c>
      <c r="DW205" s="138">
        <v>1576</v>
      </c>
      <c r="DX205" s="138">
        <v>22321</v>
      </c>
      <c r="DY205" s="146">
        <v>18732</v>
      </c>
      <c r="DZ205" s="196">
        <v>1978</v>
      </c>
      <c r="EA205" s="146">
        <v>1611</v>
      </c>
      <c r="EB205" s="114">
        <v>20.5</v>
      </c>
      <c r="EC205" s="152"/>
      <c r="ED205" s="138">
        <v>25</v>
      </c>
      <c r="EE205" s="138">
        <v>40375</v>
      </c>
      <c r="EF205" s="138">
        <v>42498</v>
      </c>
      <c r="EG205" s="138">
        <v>43423</v>
      </c>
      <c r="EH205" s="138"/>
      <c r="EI205" s="138"/>
      <c r="EJ205" s="138"/>
      <c r="EK205" s="3">
        <v>-7060</v>
      </c>
      <c r="EL205" s="138">
        <v>1033</v>
      </c>
      <c r="EM205" s="138">
        <v>19</v>
      </c>
      <c r="EN205" s="3">
        <v>-5515</v>
      </c>
      <c r="EO205" s="138">
        <v>179</v>
      </c>
      <c r="EP205" s="138">
        <v>91</v>
      </c>
      <c r="EQ205" s="3">
        <v>-7681</v>
      </c>
      <c r="ER205" s="138">
        <v>662</v>
      </c>
      <c r="ES205" s="138">
        <v>114</v>
      </c>
      <c r="ET205" s="163">
        <v>3000</v>
      </c>
      <c r="EU205" s="163"/>
      <c r="EV205" s="138">
        <v>2000</v>
      </c>
      <c r="EW205" s="138">
        <v>2213</v>
      </c>
      <c r="EX205" s="138">
        <v>2219</v>
      </c>
      <c r="EY205" s="138">
        <v>-871</v>
      </c>
      <c r="EZ205" s="138">
        <v>23933</v>
      </c>
      <c r="FA205" s="138">
        <v>19208</v>
      </c>
      <c r="FB205" s="138">
        <v>4725</v>
      </c>
      <c r="FC205" s="138">
        <v>0</v>
      </c>
      <c r="FD205" s="138">
        <v>25354</v>
      </c>
      <c r="FE205" s="138">
        <v>18483</v>
      </c>
      <c r="FF205" s="138">
        <v>6871</v>
      </c>
      <c r="FG205" s="138">
        <v>0</v>
      </c>
      <c r="FH205" s="138">
        <v>23813</v>
      </c>
      <c r="FI205" s="138">
        <v>17812</v>
      </c>
      <c r="FJ205" s="138">
        <v>6001</v>
      </c>
      <c r="FK205" s="138">
        <v>0</v>
      </c>
      <c r="FL205" s="147">
        <v>3840</v>
      </c>
      <c r="FM205" s="147">
        <v>4173.433874709976</v>
      </c>
      <c r="FO205" s="181">
        <f t="shared" si="9"/>
        <v>913.7560975609756</v>
      </c>
      <c r="FP205" s="179">
        <f t="shared" si="11"/>
        <v>107.03480116680048</v>
      </c>
      <c r="FR205" s="184"/>
      <c r="FV205" s="184">
        <v>2845</v>
      </c>
      <c r="FW205" s="2">
        <f t="shared" si="10"/>
        <v>-2845</v>
      </c>
    </row>
    <row r="206" spans="1:179" ht="12.75">
      <c r="A206" s="82">
        <v>616</v>
      </c>
      <c r="B206" s="80" t="s">
        <v>197</v>
      </c>
      <c r="C206" s="191">
        <v>2016</v>
      </c>
      <c r="D206" s="146"/>
      <c r="E206" s="150">
        <v>0.9528377298161471</v>
      </c>
      <c r="F206" s="150">
        <v>53.1</v>
      </c>
      <c r="G206" s="151">
        <v>-2296</v>
      </c>
      <c r="H206" s="152"/>
      <c r="I206" s="152"/>
      <c r="J206" s="152"/>
      <c r="K206" s="150">
        <v>54.1</v>
      </c>
      <c r="L206" s="151">
        <v>506</v>
      </c>
      <c r="M206" s="151">
        <v>28</v>
      </c>
      <c r="N206" s="154">
        <v>10459.82142857143</v>
      </c>
      <c r="O206" s="146">
        <v>2815</v>
      </c>
      <c r="P206" s="139">
        <v>1434</v>
      </c>
      <c r="Q206" s="139">
        <v>10870</v>
      </c>
      <c r="R206" s="139">
        <v>-9436</v>
      </c>
      <c r="S206" s="146">
        <v>5857</v>
      </c>
      <c r="T206" s="139">
        <v>3964</v>
      </c>
      <c r="U206" s="160"/>
      <c r="W206" s="138">
        <v>-102</v>
      </c>
      <c r="X206" s="138">
        <v>138</v>
      </c>
      <c r="Y206" s="139">
        <v>421</v>
      </c>
      <c r="Z206" s="138">
        <v>493</v>
      </c>
      <c r="AA206" s="139"/>
      <c r="AB206" s="139"/>
      <c r="AC206" s="139">
        <v>-72</v>
      </c>
      <c r="AD206" s="139"/>
      <c r="AF206" s="139"/>
      <c r="AG206" s="139">
        <v>-72</v>
      </c>
      <c r="AH206" s="139">
        <v>2497</v>
      </c>
      <c r="AI206" s="139">
        <v>326</v>
      </c>
      <c r="AJ206" s="176"/>
      <c r="AK206" s="139">
        <v>211</v>
      </c>
      <c r="AL206" s="151">
        <v>-480</v>
      </c>
      <c r="AM206" s="151">
        <v>-659</v>
      </c>
      <c r="AN206" s="146">
        <v>5857</v>
      </c>
      <c r="AO206" s="139">
        <v>5064</v>
      </c>
      <c r="AP206" s="139">
        <v>513</v>
      </c>
      <c r="AQ206" s="139">
        <v>280</v>
      </c>
      <c r="AR206" s="114">
        <v>19.5</v>
      </c>
      <c r="AS206" s="152"/>
      <c r="AT206" s="138">
        <v>193</v>
      </c>
      <c r="AU206" s="191">
        <v>2047</v>
      </c>
      <c r="AV206" s="146"/>
      <c r="AW206" s="150">
        <v>-0.0744047619047619</v>
      </c>
      <c r="AX206" s="150">
        <v>57.7</v>
      </c>
      <c r="AY206" s="151">
        <v>-2802</v>
      </c>
      <c r="AZ206" s="152"/>
      <c r="BA206" s="152"/>
      <c r="BB206" s="152"/>
      <c r="BC206" s="150">
        <v>49.5</v>
      </c>
      <c r="BD206" s="151">
        <v>177</v>
      </c>
      <c r="BE206" s="151">
        <v>10</v>
      </c>
      <c r="BF206" s="154">
        <v>6824.621397166586</v>
      </c>
      <c r="BG206" s="146">
        <v>2872</v>
      </c>
      <c r="BH206" s="139">
        <v>1545</v>
      </c>
      <c r="BI206" s="139">
        <v>11361</v>
      </c>
      <c r="BJ206" s="139">
        <v>-9816</v>
      </c>
      <c r="BK206" s="146">
        <v>5863</v>
      </c>
      <c r="BL206" s="146">
        <v>3748</v>
      </c>
      <c r="BM206" s="160"/>
      <c r="BO206" s="138">
        <v>-110</v>
      </c>
      <c r="BP206" s="138">
        <v>130</v>
      </c>
      <c r="BQ206" s="139">
        <v>-185</v>
      </c>
      <c r="BR206" s="138">
        <v>547</v>
      </c>
      <c r="BS206" s="139"/>
      <c r="BT206" s="139"/>
      <c r="BU206" s="139">
        <v>-732</v>
      </c>
      <c r="BV206" s="139"/>
      <c r="BX206" s="139"/>
      <c r="BY206" s="138">
        <v>-732</v>
      </c>
      <c r="BZ206" s="139">
        <v>1764</v>
      </c>
      <c r="CA206" s="139">
        <v>-316</v>
      </c>
      <c r="CB206" s="176"/>
      <c r="CC206" s="139">
        <v>-16</v>
      </c>
      <c r="CD206" s="151">
        <v>-898</v>
      </c>
      <c r="CE206" s="151">
        <v>-1147</v>
      </c>
      <c r="CF206" s="138">
        <v>5863</v>
      </c>
      <c r="CG206" s="139">
        <v>5272</v>
      </c>
      <c r="CH206" s="139">
        <v>281</v>
      </c>
      <c r="CI206" s="139">
        <v>310</v>
      </c>
      <c r="CJ206" s="114">
        <v>19.5</v>
      </c>
      <c r="CK206" s="152"/>
      <c r="CL206" s="138">
        <v>282</v>
      </c>
      <c r="CM206" s="190">
        <v>2036</v>
      </c>
      <c r="CN206" s="146"/>
      <c r="CO206" s="150">
        <v>-0.4054726368159204</v>
      </c>
      <c r="CP206" s="150">
        <v>63.3372801082544</v>
      </c>
      <c r="CQ206" s="151">
        <v>-3314.8330058939096</v>
      </c>
      <c r="CR206" s="152"/>
      <c r="CS206" s="152"/>
      <c r="CT206" s="152"/>
      <c r="CU206" s="150">
        <v>41.58346333853354</v>
      </c>
      <c r="CV206" s="151">
        <v>206.286836935167</v>
      </c>
      <c r="CW206" s="151">
        <v>11.145038167938932</v>
      </c>
      <c r="CX206" s="154">
        <v>6755.8939096267195</v>
      </c>
      <c r="CY206" s="146">
        <v>3046</v>
      </c>
      <c r="CZ206" s="139">
        <v>1699</v>
      </c>
      <c r="DA206" s="139">
        <v>12333</v>
      </c>
      <c r="DB206" s="139">
        <v>-10634</v>
      </c>
      <c r="DC206" s="146">
        <v>6547</v>
      </c>
      <c r="DD206" s="146">
        <v>3578</v>
      </c>
      <c r="DE206" s="160"/>
      <c r="DG206" s="138">
        <v>-116</v>
      </c>
      <c r="DH206" s="138">
        <v>183</v>
      </c>
      <c r="DI206" s="139">
        <v>-442</v>
      </c>
      <c r="DJ206" s="138">
        <v>539</v>
      </c>
      <c r="DK206" s="139"/>
      <c r="DL206" s="139"/>
      <c r="DM206" s="139">
        <v>-981</v>
      </c>
      <c r="DN206" s="139"/>
      <c r="DP206" s="139"/>
      <c r="DQ206" s="138">
        <v>-981</v>
      </c>
      <c r="DR206" s="139">
        <v>783</v>
      </c>
      <c r="DS206" s="139">
        <v>-650</v>
      </c>
      <c r="DT206" s="176"/>
      <c r="DU206" s="139">
        <v>27</v>
      </c>
      <c r="DV206" s="151">
        <v>-688</v>
      </c>
      <c r="DW206" s="138">
        <v>-1026</v>
      </c>
      <c r="DX206" s="138">
        <v>6547</v>
      </c>
      <c r="DY206" s="146">
        <v>5877</v>
      </c>
      <c r="DZ206" s="196">
        <v>280</v>
      </c>
      <c r="EA206" s="146">
        <v>390</v>
      </c>
      <c r="EB206" s="114">
        <v>20</v>
      </c>
      <c r="EC206" s="152"/>
      <c r="ED206" s="138">
        <v>300</v>
      </c>
      <c r="EE206" s="138">
        <v>7098</v>
      </c>
      <c r="EF206" s="138">
        <v>7479</v>
      </c>
      <c r="EG206" s="138">
        <v>8322</v>
      </c>
      <c r="EH206" s="138"/>
      <c r="EI206" s="138"/>
      <c r="EJ206" s="138"/>
      <c r="EK206" s="3">
        <v>-1706</v>
      </c>
      <c r="EL206" s="138">
        <v>597</v>
      </c>
      <c r="EM206" s="138">
        <v>124</v>
      </c>
      <c r="EN206" s="3">
        <v>-995</v>
      </c>
      <c r="EO206" s="138"/>
      <c r="EP206" s="138">
        <v>164</v>
      </c>
      <c r="EQ206" s="3">
        <v>-616</v>
      </c>
      <c r="ES206" s="138">
        <v>240</v>
      </c>
      <c r="ET206" s="163">
        <v>1500</v>
      </c>
      <c r="EU206" s="163">
        <v>-497</v>
      </c>
      <c r="EV206" s="138"/>
      <c r="EW206" s="138">
        <v>1707</v>
      </c>
      <c r="EX206" s="138">
        <v>1400</v>
      </c>
      <c r="EY206" s="138">
        <v>100</v>
      </c>
      <c r="EZ206" s="138">
        <v>3960</v>
      </c>
      <c r="FA206" s="138">
        <v>3480</v>
      </c>
      <c r="FB206" s="138">
        <v>480</v>
      </c>
      <c r="FC206" s="138">
        <v>1</v>
      </c>
      <c r="FD206" s="138">
        <v>4769</v>
      </c>
      <c r="FE206" s="138">
        <v>2582</v>
      </c>
      <c r="FF206" s="138">
        <v>2187</v>
      </c>
      <c r="FG206" s="138">
        <v>1</v>
      </c>
      <c r="FH206" s="138">
        <v>5582</v>
      </c>
      <c r="FI206" s="138">
        <v>3328</v>
      </c>
      <c r="FJ206" s="138">
        <v>2254</v>
      </c>
      <c r="FK206" s="138">
        <v>1</v>
      </c>
      <c r="FL206" s="147">
        <v>2312</v>
      </c>
      <c r="FM206" s="147">
        <v>2672.2032242305813</v>
      </c>
      <c r="FO206" s="181">
        <f t="shared" si="9"/>
        <v>293.85</v>
      </c>
      <c r="FP206" s="179">
        <f t="shared" si="11"/>
        <v>144.3271119842829</v>
      </c>
      <c r="FR206" s="184"/>
      <c r="FV206" s="184">
        <v>480</v>
      </c>
      <c r="FW206" s="2">
        <f t="shared" si="10"/>
        <v>-480</v>
      </c>
    </row>
    <row r="207" spans="1:179" ht="12.75">
      <c r="A207" s="82">
        <v>619</v>
      </c>
      <c r="B207" s="80" t="s">
        <v>198</v>
      </c>
      <c r="C207" s="191">
        <v>3236</v>
      </c>
      <c r="D207" s="146"/>
      <c r="E207" s="150">
        <v>0.5781041388518025</v>
      </c>
      <c r="F207" s="150">
        <v>20.4</v>
      </c>
      <c r="G207" s="151">
        <v>-665</v>
      </c>
      <c r="H207" s="152"/>
      <c r="I207" s="152"/>
      <c r="J207" s="152"/>
      <c r="K207" s="150">
        <v>75</v>
      </c>
      <c r="L207" s="151">
        <v>337</v>
      </c>
      <c r="M207" s="151">
        <v>18</v>
      </c>
      <c r="N207" s="154">
        <v>6852.595797280594</v>
      </c>
      <c r="O207" s="146">
        <v>6394</v>
      </c>
      <c r="P207" s="139">
        <v>3062</v>
      </c>
      <c r="Q207" s="139">
        <v>20701</v>
      </c>
      <c r="R207" s="139">
        <v>-17639</v>
      </c>
      <c r="S207" s="146">
        <v>7682</v>
      </c>
      <c r="T207" s="139">
        <v>10102</v>
      </c>
      <c r="U207" s="160"/>
      <c r="W207" s="138">
        <v>-30</v>
      </c>
      <c r="X207" s="138">
        <v>43</v>
      </c>
      <c r="Y207" s="139">
        <v>158</v>
      </c>
      <c r="Z207" s="138">
        <v>591</v>
      </c>
      <c r="AA207" s="138">
        <v>109</v>
      </c>
      <c r="AC207" s="139">
        <v>-324</v>
      </c>
      <c r="AD207" s="139">
        <v>14</v>
      </c>
      <c r="AE207" s="139"/>
      <c r="AG207" s="139">
        <v>-310</v>
      </c>
      <c r="AH207" s="139">
        <v>2784</v>
      </c>
      <c r="AI207" s="139">
        <v>160</v>
      </c>
      <c r="AJ207" s="176"/>
      <c r="AK207" s="139">
        <v>-462</v>
      </c>
      <c r="AL207" s="151">
        <v>-474</v>
      </c>
      <c r="AM207" s="151"/>
      <c r="AN207" s="146">
        <v>7682</v>
      </c>
      <c r="AO207" s="139">
        <v>6771</v>
      </c>
      <c r="AP207" s="139">
        <v>534</v>
      </c>
      <c r="AQ207" s="139">
        <v>377</v>
      </c>
      <c r="AR207" s="114">
        <v>19.5</v>
      </c>
      <c r="AS207" s="152"/>
      <c r="AT207" s="138">
        <v>263</v>
      </c>
      <c r="AU207" s="191">
        <v>3203</v>
      </c>
      <c r="AV207" s="146"/>
      <c r="AW207" s="150">
        <v>-0.06936416184971098</v>
      </c>
      <c r="AX207" s="150">
        <v>20.6</v>
      </c>
      <c r="AY207" s="151">
        <v>-845</v>
      </c>
      <c r="AZ207" s="152"/>
      <c r="BA207" s="152"/>
      <c r="BB207" s="152"/>
      <c r="BC207" s="150">
        <v>73.5</v>
      </c>
      <c r="BD207" s="151">
        <v>280</v>
      </c>
      <c r="BE207" s="151">
        <v>14</v>
      </c>
      <c r="BF207" s="154">
        <v>7160.162347798939</v>
      </c>
      <c r="BG207" s="146">
        <v>6461</v>
      </c>
      <c r="BH207" s="139">
        <v>3436</v>
      </c>
      <c r="BI207" s="139">
        <v>21503</v>
      </c>
      <c r="BJ207" s="139">
        <v>-18067</v>
      </c>
      <c r="BK207" s="146">
        <v>7611</v>
      </c>
      <c r="BL207" s="146">
        <v>10376</v>
      </c>
      <c r="BM207" s="160"/>
      <c r="BO207" s="138">
        <v>-36</v>
      </c>
      <c r="BP207" s="138">
        <v>35</v>
      </c>
      <c r="BQ207" s="139">
        <v>-81</v>
      </c>
      <c r="BR207" s="138">
        <v>557</v>
      </c>
      <c r="BU207" s="139">
        <v>-638</v>
      </c>
      <c r="BV207" s="139">
        <v>14</v>
      </c>
      <c r="BW207" s="139"/>
      <c r="BY207" s="138">
        <v>-624</v>
      </c>
      <c r="BZ207" s="139">
        <v>2160</v>
      </c>
      <c r="CA207" s="139">
        <v>-90</v>
      </c>
      <c r="CB207" s="176"/>
      <c r="CC207" s="139">
        <v>207</v>
      </c>
      <c r="CD207" s="151">
        <v>-474</v>
      </c>
      <c r="CE207" s="151">
        <v>-533</v>
      </c>
      <c r="CF207" s="138">
        <v>7611</v>
      </c>
      <c r="CG207" s="139">
        <v>6855</v>
      </c>
      <c r="CH207" s="139">
        <v>362</v>
      </c>
      <c r="CI207" s="139">
        <v>394</v>
      </c>
      <c r="CJ207" s="114">
        <v>19.75</v>
      </c>
      <c r="CK207" s="152"/>
      <c r="CL207" s="138">
        <v>256</v>
      </c>
      <c r="CM207" s="190">
        <v>3173</v>
      </c>
      <c r="CN207" s="146"/>
      <c r="CO207" s="150">
        <v>1.666015625</v>
      </c>
      <c r="CP207" s="150">
        <v>23.723356009070294</v>
      </c>
      <c r="CQ207" s="151">
        <v>-1120.7059565080367</v>
      </c>
      <c r="CR207" s="152"/>
      <c r="CS207" s="152"/>
      <c r="CT207" s="152"/>
      <c r="CU207" s="150">
        <v>70.51519442326544</v>
      </c>
      <c r="CV207" s="151">
        <v>136.46391427670974</v>
      </c>
      <c r="CW207" s="151">
        <v>6.726464078992169</v>
      </c>
      <c r="CX207" s="154">
        <v>7404.979514654901</v>
      </c>
      <c r="CY207" s="146">
        <v>6108</v>
      </c>
      <c r="CZ207" s="139">
        <v>3135</v>
      </c>
      <c r="DA207" s="139">
        <v>21214</v>
      </c>
      <c r="DB207" s="139">
        <v>-18079</v>
      </c>
      <c r="DC207" s="146">
        <v>8126</v>
      </c>
      <c r="DD207" s="146">
        <v>10789</v>
      </c>
      <c r="DE207" s="160"/>
      <c r="DG207" s="138">
        <v>-30</v>
      </c>
      <c r="DH207" s="138">
        <v>9</v>
      </c>
      <c r="DI207" s="139">
        <v>815</v>
      </c>
      <c r="DJ207" s="138">
        <v>768</v>
      </c>
      <c r="DM207" s="139">
        <v>47</v>
      </c>
      <c r="DN207" s="139">
        <v>19</v>
      </c>
      <c r="DO207" s="139"/>
      <c r="DQ207" s="138">
        <v>66</v>
      </c>
      <c r="DR207" s="139">
        <v>2226</v>
      </c>
      <c r="DS207" s="139">
        <v>815</v>
      </c>
      <c r="DT207" s="176"/>
      <c r="DU207" s="139">
        <v>-434</v>
      </c>
      <c r="DV207" s="151">
        <v>-474</v>
      </c>
      <c r="DW207" s="138">
        <v>-805</v>
      </c>
      <c r="DX207" s="138">
        <v>8126</v>
      </c>
      <c r="DY207" s="146">
        <v>7361</v>
      </c>
      <c r="DZ207" s="196">
        <v>362</v>
      </c>
      <c r="EA207" s="146">
        <v>403</v>
      </c>
      <c r="EB207" s="114">
        <v>19.75</v>
      </c>
      <c r="EC207" s="152"/>
      <c r="ED207" s="138">
        <v>166</v>
      </c>
      <c r="EE207" s="138">
        <v>11999</v>
      </c>
      <c r="EF207" s="138">
        <v>12810</v>
      </c>
      <c r="EG207" s="138">
        <v>13394</v>
      </c>
      <c r="EH207" s="138"/>
      <c r="EI207" s="138"/>
      <c r="EJ207" s="138"/>
      <c r="EK207" s="3">
        <v>-491</v>
      </c>
      <c r="EL207" s="138"/>
      <c r="EM207" s="138">
        <v>331</v>
      </c>
      <c r="EN207" s="3">
        <v>-897</v>
      </c>
      <c r="EO207" s="138"/>
      <c r="EP207" s="138">
        <v>454</v>
      </c>
      <c r="EQ207" s="3">
        <v>-1767</v>
      </c>
      <c r="ER207" s="138">
        <v>142</v>
      </c>
      <c r="ES207" s="138">
        <v>5</v>
      </c>
      <c r="ET207" s="163"/>
      <c r="EU207" s="163"/>
      <c r="EV207" s="138"/>
      <c r="EW207" s="138"/>
      <c r="EX207" s="138">
        <v>1500</v>
      </c>
      <c r="EY207" s="138"/>
      <c r="EZ207" s="138">
        <v>2182</v>
      </c>
      <c r="FA207" s="138">
        <v>1708</v>
      </c>
      <c r="FB207" s="138">
        <v>474</v>
      </c>
      <c r="FC207" s="138">
        <v>213</v>
      </c>
      <c r="FD207" s="138">
        <v>1709</v>
      </c>
      <c r="FE207" s="138">
        <v>1235</v>
      </c>
      <c r="FF207" s="138">
        <v>474</v>
      </c>
      <c r="FG207" s="138">
        <v>227</v>
      </c>
      <c r="FH207" s="138">
        <v>2734</v>
      </c>
      <c r="FI207" s="138">
        <v>2228</v>
      </c>
      <c r="FJ207" s="138">
        <v>506</v>
      </c>
      <c r="FK207" s="138">
        <v>227</v>
      </c>
      <c r="FL207" s="147">
        <v>1896</v>
      </c>
      <c r="FM207" s="147">
        <v>1902.279113331252</v>
      </c>
      <c r="FO207" s="181">
        <f t="shared" si="9"/>
        <v>372.7088607594937</v>
      </c>
      <c r="FP207" s="179">
        <f t="shared" si="11"/>
        <v>117.46260975716788</v>
      </c>
      <c r="FR207" s="184"/>
      <c r="FV207" s="184">
        <v>474</v>
      </c>
      <c r="FW207" s="2">
        <f t="shared" si="10"/>
        <v>-474</v>
      </c>
    </row>
    <row r="208" spans="1:179" ht="12.75">
      <c r="A208" s="82">
        <v>620</v>
      </c>
      <c r="B208" s="80" t="s">
        <v>199</v>
      </c>
      <c r="C208" s="191">
        <v>2997</v>
      </c>
      <c r="D208" s="146"/>
      <c r="E208" s="150">
        <v>0.8153310104529616</v>
      </c>
      <c r="F208" s="150">
        <v>18.1</v>
      </c>
      <c r="G208" s="151">
        <v>-11</v>
      </c>
      <c r="H208" s="152"/>
      <c r="I208" s="152"/>
      <c r="J208" s="152"/>
      <c r="K208" s="150">
        <v>76.1</v>
      </c>
      <c r="L208" s="151">
        <v>1181</v>
      </c>
      <c r="M208" s="151">
        <v>51</v>
      </c>
      <c r="N208" s="154">
        <v>8077.744411077745</v>
      </c>
      <c r="O208" s="146">
        <v>5572</v>
      </c>
      <c r="P208" s="139">
        <v>3150</v>
      </c>
      <c r="Q208" s="139">
        <v>22508</v>
      </c>
      <c r="R208" s="139">
        <v>-19358</v>
      </c>
      <c r="S208" s="146">
        <v>8092</v>
      </c>
      <c r="T208" s="139">
        <v>12809</v>
      </c>
      <c r="U208" s="160"/>
      <c r="W208" s="138">
        <v>-29</v>
      </c>
      <c r="X208" s="138">
        <v>-634</v>
      </c>
      <c r="Y208" s="139">
        <v>880</v>
      </c>
      <c r="Z208" s="138">
        <v>977</v>
      </c>
      <c r="AC208" s="139">
        <v>-97</v>
      </c>
      <c r="AD208" s="139">
        <v>72</v>
      </c>
      <c r="AG208" s="139">
        <v>-25</v>
      </c>
      <c r="AH208" s="139">
        <v>1422</v>
      </c>
      <c r="AI208" s="139">
        <v>1471</v>
      </c>
      <c r="AJ208" s="176"/>
      <c r="AK208" s="139">
        <v>298</v>
      </c>
      <c r="AL208" s="151">
        <v>-1092</v>
      </c>
      <c r="AM208" s="151">
        <v>693</v>
      </c>
      <c r="AN208" s="146">
        <v>8092</v>
      </c>
      <c r="AO208" s="139">
        <v>6140</v>
      </c>
      <c r="AP208" s="139">
        <v>1345</v>
      </c>
      <c r="AQ208" s="139">
        <v>607</v>
      </c>
      <c r="AR208" s="114">
        <v>20</v>
      </c>
      <c r="AS208" s="152"/>
      <c r="AT208" s="138">
        <v>130</v>
      </c>
      <c r="AU208" s="191">
        <v>2931</v>
      </c>
      <c r="AV208" s="146"/>
      <c r="AW208" s="150">
        <v>1.0470183486238531</v>
      </c>
      <c r="AX208" s="150">
        <v>17.1</v>
      </c>
      <c r="AY208" s="151">
        <v>-158</v>
      </c>
      <c r="AZ208" s="152"/>
      <c r="BA208" s="152"/>
      <c r="BB208" s="152"/>
      <c r="BC208" s="150">
        <v>79.4</v>
      </c>
      <c r="BD208" s="151">
        <v>864</v>
      </c>
      <c r="BE208" s="151">
        <v>35</v>
      </c>
      <c r="BF208" s="154">
        <v>9005.800068236096</v>
      </c>
      <c r="BG208" s="146">
        <v>5872</v>
      </c>
      <c r="BH208" s="139">
        <v>3257</v>
      </c>
      <c r="BI208" s="139">
        <v>23008</v>
      </c>
      <c r="BJ208" s="139">
        <v>-19751</v>
      </c>
      <c r="BK208" s="146">
        <v>7436</v>
      </c>
      <c r="BL208" s="146">
        <v>13180</v>
      </c>
      <c r="BM208" s="160"/>
      <c r="BO208" s="138">
        <v>-20</v>
      </c>
      <c r="BP208" s="138">
        <v>19</v>
      </c>
      <c r="BQ208" s="139">
        <v>864</v>
      </c>
      <c r="BR208" s="138">
        <v>826</v>
      </c>
      <c r="BU208" s="139">
        <v>38</v>
      </c>
      <c r="BV208" s="139">
        <v>72</v>
      </c>
      <c r="BY208" s="138">
        <v>110</v>
      </c>
      <c r="BZ208" s="139">
        <v>1532</v>
      </c>
      <c r="CA208" s="139">
        <v>267</v>
      </c>
      <c r="CB208" s="176"/>
      <c r="CC208" s="139">
        <v>-311</v>
      </c>
      <c r="CD208" s="151">
        <v>-823</v>
      </c>
      <c r="CE208" s="151">
        <v>458</v>
      </c>
      <c r="CF208" s="138">
        <v>7436</v>
      </c>
      <c r="CG208" s="139">
        <v>6048</v>
      </c>
      <c r="CH208" s="139">
        <v>766</v>
      </c>
      <c r="CI208" s="139">
        <v>622</v>
      </c>
      <c r="CJ208" s="114">
        <v>20</v>
      </c>
      <c r="CK208" s="152"/>
      <c r="CL208" s="138">
        <v>68</v>
      </c>
      <c r="CM208" s="190">
        <v>2878</v>
      </c>
      <c r="CN208" s="146"/>
      <c r="CO208" s="150">
        <v>1.077565632458234</v>
      </c>
      <c r="CP208" s="150">
        <v>41.40418185305966</v>
      </c>
      <c r="CQ208" s="151">
        <v>-1005.5594162612927</v>
      </c>
      <c r="CR208" s="152"/>
      <c r="CS208" s="152"/>
      <c r="CT208" s="152"/>
      <c r="CU208" s="150">
        <v>59.24879445449066</v>
      </c>
      <c r="CV208" s="151">
        <v>445.1007644197359</v>
      </c>
      <c r="CW208" s="151">
        <v>15.163942401245377</v>
      </c>
      <c r="CX208" s="154">
        <v>10713.690062543434</v>
      </c>
      <c r="CY208" s="146">
        <v>6598</v>
      </c>
      <c r="CZ208" s="139">
        <v>3954</v>
      </c>
      <c r="DA208" s="139">
        <v>24635</v>
      </c>
      <c r="DB208" s="139">
        <v>-20681</v>
      </c>
      <c r="DC208" s="146">
        <v>8124</v>
      </c>
      <c r="DD208" s="146">
        <v>13987</v>
      </c>
      <c r="DE208" s="160"/>
      <c r="DG208" s="138">
        <v>-9</v>
      </c>
      <c r="DH208" s="138">
        <v>-533</v>
      </c>
      <c r="DI208" s="139">
        <v>888</v>
      </c>
      <c r="DJ208" s="138">
        <v>968</v>
      </c>
      <c r="DM208" s="139">
        <v>-80</v>
      </c>
      <c r="DN208" s="139">
        <v>72</v>
      </c>
      <c r="DQ208" s="138">
        <v>-8</v>
      </c>
      <c r="DR208" s="139">
        <v>1524</v>
      </c>
      <c r="DS208" s="139">
        <v>875</v>
      </c>
      <c r="DT208" s="176"/>
      <c r="DU208" s="139">
        <v>-5525</v>
      </c>
      <c r="DV208" s="151">
        <v>-823</v>
      </c>
      <c r="DW208" s="138">
        <v>-3115</v>
      </c>
      <c r="DX208" s="138">
        <v>8124</v>
      </c>
      <c r="DY208" s="146">
        <v>6514</v>
      </c>
      <c r="DZ208" s="196">
        <v>966</v>
      </c>
      <c r="EA208" s="146">
        <v>644</v>
      </c>
      <c r="EB208" s="114">
        <v>21</v>
      </c>
      <c r="EC208" s="152"/>
      <c r="ED208" s="138">
        <v>134</v>
      </c>
      <c r="EE208" s="138">
        <v>14470</v>
      </c>
      <c r="EF208" s="138">
        <v>14969</v>
      </c>
      <c r="EG208" s="138">
        <v>14915</v>
      </c>
      <c r="EH208" s="138"/>
      <c r="EI208" s="138"/>
      <c r="EJ208" s="138"/>
      <c r="EK208" s="3">
        <v>-793</v>
      </c>
      <c r="EL208" s="138"/>
      <c r="EM208" s="138">
        <v>15</v>
      </c>
      <c r="EN208" s="3">
        <v>-1188</v>
      </c>
      <c r="EO208" s="138">
        <v>73</v>
      </c>
      <c r="EP208" s="138">
        <v>1306</v>
      </c>
      <c r="EQ208" s="3">
        <v>-4749</v>
      </c>
      <c r="ER208" s="138">
        <v>46</v>
      </c>
      <c r="ES208" s="138">
        <v>713</v>
      </c>
      <c r="ET208" s="163"/>
      <c r="EU208" s="163"/>
      <c r="EV208" s="138"/>
      <c r="EW208" s="138"/>
      <c r="EX208" s="138">
        <v>2000</v>
      </c>
      <c r="EY208" s="138"/>
      <c r="EZ208" s="138">
        <v>2977</v>
      </c>
      <c r="FA208" s="138">
        <v>2154</v>
      </c>
      <c r="FB208" s="138">
        <v>823</v>
      </c>
      <c r="FC208" s="138">
        <v>1094</v>
      </c>
      <c r="FD208" s="138">
        <v>2154</v>
      </c>
      <c r="FE208" s="138">
        <v>1331</v>
      </c>
      <c r="FF208" s="138">
        <v>823</v>
      </c>
      <c r="FG208" s="138">
        <v>1969</v>
      </c>
      <c r="FH208" s="138">
        <v>3331</v>
      </c>
      <c r="FI208" s="138">
        <v>2601</v>
      </c>
      <c r="FJ208" s="138">
        <v>730</v>
      </c>
      <c r="FK208" s="138">
        <v>1293</v>
      </c>
      <c r="FL208" s="147">
        <v>2070</v>
      </c>
      <c r="FM208" s="147">
        <v>1909.2459911293074</v>
      </c>
      <c r="FO208" s="181">
        <f t="shared" si="9"/>
        <v>310.1904761904762</v>
      </c>
      <c r="FP208" s="179">
        <f t="shared" si="11"/>
        <v>107.77987358946359</v>
      </c>
      <c r="FR208" s="184"/>
      <c r="FV208" s="184">
        <v>1092</v>
      </c>
      <c r="FW208" s="2">
        <f t="shared" si="10"/>
        <v>-1092</v>
      </c>
    </row>
    <row r="209" spans="1:179" ht="12.75">
      <c r="A209" s="82">
        <v>623</v>
      </c>
      <c r="B209" s="80" t="s">
        <v>200</v>
      </c>
      <c r="C209" s="191">
        <v>2419</v>
      </c>
      <c r="D209" s="146"/>
      <c r="E209" s="150">
        <v>0.8072072072072072</v>
      </c>
      <c r="F209" s="150">
        <v>30.8</v>
      </c>
      <c r="G209" s="151">
        <v>-1776</v>
      </c>
      <c r="H209" s="152"/>
      <c r="I209" s="152"/>
      <c r="J209" s="152"/>
      <c r="K209" s="150">
        <v>60.6</v>
      </c>
      <c r="L209" s="151">
        <v>433</v>
      </c>
      <c r="M209" s="151">
        <v>18</v>
      </c>
      <c r="N209" s="154">
        <v>8526.250516742455</v>
      </c>
      <c r="O209" s="146">
        <v>8251</v>
      </c>
      <c r="P209" s="139">
        <v>3156</v>
      </c>
      <c r="Q209" s="139">
        <v>18622</v>
      </c>
      <c r="R209" s="139">
        <v>-15466</v>
      </c>
      <c r="S209" s="146">
        <v>8237</v>
      </c>
      <c r="T209" s="139">
        <v>7622</v>
      </c>
      <c r="U209" s="160"/>
      <c r="W209" s="138">
        <v>-53</v>
      </c>
      <c r="X209" s="138">
        <v>49</v>
      </c>
      <c r="Y209" s="139">
        <v>389</v>
      </c>
      <c r="Z209" s="138">
        <v>540</v>
      </c>
      <c r="AC209" s="139">
        <v>-151</v>
      </c>
      <c r="AD209" s="139"/>
      <c r="AG209" s="139">
        <v>-151</v>
      </c>
      <c r="AH209" s="139">
        <v>-1641</v>
      </c>
      <c r="AI209" s="139">
        <v>192</v>
      </c>
      <c r="AJ209" s="176"/>
      <c r="AK209" s="138">
        <v>-119</v>
      </c>
      <c r="AL209" s="151">
        <v>-496</v>
      </c>
      <c r="AM209" s="151">
        <v>-1283</v>
      </c>
      <c r="AN209" s="146">
        <v>8237</v>
      </c>
      <c r="AO209" s="139">
        <v>5559</v>
      </c>
      <c r="AP209" s="139">
        <v>1333</v>
      </c>
      <c r="AQ209" s="139">
        <v>1345</v>
      </c>
      <c r="AR209" s="114">
        <v>21</v>
      </c>
      <c r="AS209" s="152"/>
      <c r="AT209" s="138">
        <v>227</v>
      </c>
      <c r="AU209" s="191">
        <v>2374</v>
      </c>
      <c r="AV209" s="146"/>
      <c r="AW209" s="150">
        <v>1.0479651162790697</v>
      </c>
      <c r="AX209" s="150">
        <v>32.8</v>
      </c>
      <c r="AY209" s="151">
        <v>-1965</v>
      </c>
      <c r="AZ209" s="152"/>
      <c r="BA209" s="152"/>
      <c r="BB209" s="152"/>
      <c r="BC209" s="150">
        <v>59.6</v>
      </c>
      <c r="BD209" s="151">
        <v>287</v>
      </c>
      <c r="BE209" s="151">
        <v>12</v>
      </c>
      <c r="BF209" s="154">
        <v>8849.199663016007</v>
      </c>
      <c r="BG209" s="146">
        <v>8492</v>
      </c>
      <c r="BH209" s="139">
        <v>2966</v>
      </c>
      <c r="BI209" s="139">
        <v>18682</v>
      </c>
      <c r="BJ209" s="139">
        <v>-15716</v>
      </c>
      <c r="BK209" s="146">
        <v>7886</v>
      </c>
      <c r="BL209" s="146">
        <v>8455</v>
      </c>
      <c r="BM209" s="160"/>
      <c r="BO209" s="138">
        <v>-85</v>
      </c>
      <c r="BP209" s="138">
        <v>84</v>
      </c>
      <c r="BQ209" s="139">
        <v>624</v>
      </c>
      <c r="BR209" s="138">
        <v>580</v>
      </c>
      <c r="BS209" s="138">
        <v>297</v>
      </c>
      <c r="BU209" s="139">
        <v>341</v>
      </c>
      <c r="BV209" s="139"/>
      <c r="BY209" s="138">
        <v>341</v>
      </c>
      <c r="BZ209" s="139">
        <v>-1300</v>
      </c>
      <c r="CA209" s="139">
        <v>583</v>
      </c>
      <c r="CB209" s="176"/>
      <c r="CC209" s="138">
        <v>-468</v>
      </c>
      <c r="CD209" s="151">
        <v>-591</v>
      </c>
      <c r="CE209" s="151">
        <v>-330</v>
      </c>
      <c r="CF209" s="138">
        <v>7886</v>
      </c>
      <c r="CG209" s="139">
        <v>5672</v>
      </c>
      <c r="CH209" s="139">
        <v>830</v>
      </c>
      <c r="CI209" s="139">
        <v>1384</v>
      </c>
      <c r="CJ209" s="114">
        <v>21</v>
      </c>
      <c r="CK209" s="152"/>
      <c r="CL209" s="138">
        <v>78</v>
      </c>
      <c r="CM209" s="190">
        <v>2319</v>
      </c>
      <c r="CN209" s="146"/>
      <c r="CO209" s="150">
        <v>2.6018766756032172</v>
      </c>
      <c r="CP209" s="150">
        <v>24.494776920823977</v>
      </c>
      <c r="CQ209" s="151">
        <v>-1463.130659767141</v>
      </c>
      <c r="CR209" s="152"/>
      <c r="CS209" s="152"/>
      <c r="CT209" s="152"/>
      <c r="CU209" s="150">
        <v>68.03007135575943</v>
      </c>
      <c r="CV209" s="151">
        <v>469.1677447175507</v>
      </c>
      <c r="CW209" s="151">
        <v>19.904766678361987</v>
      </c>
      <c r="CX209" s="154">
        <v>8603.277274687365</v>
      </c>
      <c r="CY209" s="146">
        <v>5005</v>
      </c>
      <c r="CZ209" s="139">
        <v>2942</v>
      </c>
      <c r="DA209" s="139">
        <v>18596</v>
      </c>
      <c r="DB209" s="139">
        <v>-15654</v>
      </c>
      <c r="DC209" s="146">
        <v>8424</v>
      </c>
      <c r="DD209" s="146">
        <v>9120</v>
      </c>
      <c r="DE209" s="160"/>
      <c r="DG209" s="138">
        <v>-86</v>
      </c>
      <c r="DH209" s="138">
        <v>44</v>
      </c>
      <c r="DI209" s="139">
        <v>1848</v>
      </c>
      <c r="DJ209" s="138">
        <v>548</v>
      </c>
      <c r="DM209" s="139">
        <v>1300</v>
      </c>
      <c r="DN209" s="139"/>
      <c r="DQ209" s="138">
        <v>1300</v>
      </c>
      <c r="DR209" s="139">
        <v>0</v>
      </c>
      <c r="DS209" s="139">
        <v>1541</v>
      </c>
      <c r="DT209" s="176"/>
      <c r="DU209" s="138">
        <v>442</v>
      </c>
      <c r="DV209" s="151">
        <v>-653</v>
      </c>
      <c r="DW209" s="138">
        <v>1326</v>
      </c>
      <c r="DX209" s="138">
        <v>8424</v>
      </c>
      <c r="DY209" s="146">
        <v>5856</v>
      </c>
      <c r="DZ209" s="196">
        <v>1013</v>
      </c>
      <c r="EA209" s="146">
        <v>1555</v>
      </c>
      <c r="EB209" s="114">
        <v>20.5</v>
      </c>
      <c r="EC209" s="152"/>
      <c r="ED209" s="138">
        <v>11</v>
      </c>
      <c r="EE209" s="138">
        <v>8518</v>
      </c>
      <c r="EF209" s="138">
        <v>8338</v>
      </c>
      <c r="EG209" s="138">
        <v>12217</v>
      </c>
      <c r="EH209" s="138"/>
      <c r="EI209" s="138"/>
      <c r="EJ209" s="138"/>
      <c r="EK209" s="3">
        <v>-1707</v>
      </c>
      <c r="EL209" s="138">
        <v>5</v>
      </c>
      <c r="EM209" s="138">
        <v>227</v>
      </c>
      <c r="EN209" s="3">
        <v>-1634</v>
      </c>
      <c r="EO209" s="138">
        <v>382</v>
      </c>
      <c r="EP209" s="138">
        <v>339</v>
      </c>
      <c r="EQ209" s="3">
        <v>-592</v>
      </c>
      <c r="ES209" s="138">
        <v>377</v>
      </c>
      <c r="ET209" s="163">
        <v>1500</v>
      </c>
      <c r="EU209" s="163">
        <v>102</v>
      </c>
      <c r="EV209" s="138">
        <v>1000</v>
      </c>
      <c r="EW209" s="138">
        <v>0</v>
      </c>
      <c r="EX209" s="138">
        <v>500</v>
      </c>
      <c r="EY209" s="138"/>
      <c r="EZ209" s="138">
        <v>3129</v>
      </c>
      <c r="FA209" s="138">
        <v>2601</v>
      </c>
      <c r="FB209" s="138">
        <v>528</v>
      </c>
      <c r="FC209" s="138">
        <v>417</v>
      </c>
      <c r="FD209" s="138">
        <v>3538</v>
      </c>
      <c r="FE209" s="138">
        <v>2885</v>
      </c>
      <c r="FF209" s="138">
        <v>653</v>
      </c>
      <c r="FG209" s="138">
        <v>417</v>
      </c>
      <c r="FH209" s="138">
        <v>3385</v>
      </c>
      <c r="FI209" s="138">
        <v>2732</v>
      </c>
      <c r="FJ209" s="138">
        <v>653</v>
      </c>
      <c r="FK209" s="138">
        <v>430</v>
      </c>
      <c r="FL209" s="147">
        <v>2432</v>
      </c>
      <c r="FM209" s="147">
        <v>2595.1979780960405</v>
      </c>
      <c r="FO209" s="181">
        <f t="shared" si="9"/>
        <v>285.6585365853659</v>
      </c>
      <c r="FP209" s="179">
        <f t="shared" si="11"/>
        <v>123.1817751553971</v>
      </c>
      <c r="FR209" s="184"/>
      <c r="FV209" s="184">
        <v>496</v>
      </c>
      <c r="FW209" s="2">
        <f t="shared" si="10"/>
        <v>-496</v>
      </c>
    </row>
    <row r="210" spans="1:179" ht="12.75">
      <c r="A210" s="82">
        <v>624</v>
      </c>
      <c r="B210" s="80" t="s">
        <v>201</v>
      </c>
      <c r="C210" s="191">
        <v>5372</v>
      </c>
      <c r="D210" s="146"/>
      <c r="E210" s="150">
        <v>0.8072372999304106</v>
      </c>
      <c r="F210" s="150">
        <v>56.4</v>
      </c>
      <c r="G210" s="151">
        <v>-2742</v>
      </c>
      <c r="H210" s="152"/>
      <c r="I210" s="152"/>
      <c r="J210" s="152"/>
      <c r="K210" s="150">
        <v>39.9</v>
      </c>
      <c r="L210" s="151">
        <v>25</v>
      </c>
      <c r="M210" s="151">
        <v>1</v>
      </c>
      <c r="N210" s="154">
        <v>5538.346984363366</v>
      </c>
      <c r="O210" s="146">
        <v>9325</v>
      </c>
      <c r="P210" s="139">
        <v>2699</v>
      </c>
      <c r="Q210" s="139">
        <v>27222</v>
      </c>
      <c r="R210" s="139">
        <v>-24523</v>
      </c>
      <c r="S210" s="146">
        <v>17627</v>
      </c>
      <c r="T210" s="139">
        <v>8234</v>
      </c>
      <c r="U210" s="160"/>
      <c r="W210" s="138">
        <v>-242</v>
      </c>
      <c r="X210" s="138">
        <v>-5</v>
      </c>
      <c r="Y210" s="139">
        <v>1091</v>
      </c>
      <c r="Z210" s="138">
        <v>926</v>
      </c>
      <c r="AA210" s="138">
        <v>17</v>
      </c>
      <c r="AB210" s="139">
        <v>12</v>
      </c>
      <c r="AC210" s="139">
        <v>170</v>
      </c>
      <c r="AG210" s="139">
        <v>170</v>
      </c>
      <c r="AH210" s="139">
        <v>2432</v>
      </c>
      <c r="AI210" s="139">
        <v>783</v>
      </c>
      <c r="AJ210" s="176"/>
      <c r="AK210" s="139">
        <v>-482</v>
      </c>
      <c r="AL210" s="151">
        <v>-1368</v>
      </c>
      <c r="AM210" s="151">
        <v>-3277</v>
      </c>
      <c r="AN210" s="146">
        <v>17627</v>
      </c>
      <c r="AO210" s="139">
        <v>15452</v>
      </c>
      <c r="AP210" s="139">
        <v>587</v>
      </c>
      <c r="AQ210" s="139">
        <v>1588</v>
      </c>
      <c r="AR210" s="114">
        <v>19.75</v>
      </c>
      <c r="AS210" s="152"/>
      <c r="AT210" s="138">
        <v>201</v>
      </c>
      <c r="AU210" s="191">
        <v>5377</v>
      </c>
      <c r="AV210" s="146"/>
      <c r="AW210" s="150">
        <v>1.2199606040709128</v>
      </c>
      <c r="AX210" s="150">
        <v>55.3</v>
      </c>
      <c r="AY210" s="151">
        <v>-2830</v>
      </c>
      <c r="AZ210" s="152"/>
      <c r="BA210" s="152"/>
      <c r="BB210" s="152"/>
      <c r="BC210" s="150">
        <v>39.9</v>
      </c>
      <c r="BD210" s="151">
        <v>213</v>
      </c>
      <c r="BE210" s="151">
        <v>13</v>
      </c>
      <c r="BF210" s="154">
        <v>6114.933978054677</v>
      </c>
      <c r="BG210" s="146">
        <v>10090</v>
      </c>
      <c r="BH210" s="139">
        <v>3642</v>
      </c>
      <c r="BI210" s="139">
        <v>29036</v>
      </c>
      <c r="BJ210" s="139">
        <v>-25394</v>
      </c>
      <c r="BK210" s="146">
        <v>18281</v>
      </c>
      <c r="BL210" s="146">
        <v>8932</v>
      </c>
      <c r="BM210" s="160"/>
      <c r="BO210" s="138">
        <v>-186</v>
      </c>
      <c r="BP210" s="138">
        <v>12</v>
      </c>
      <c r="BQ210" s="139">
        <v>1645</v>
      </c>
      <c r="BR210" s="138">
        <v>1082</v>
      </c>
      <c r="BT210" s="139"/>
      <c r="BU210" s="139">
        <v>563</v>
      </c>
      <c r="BY210" s="138">
        <v>563</v>
      </c>
      <c r="BZ210" s="139">
        <v>2995</v>
      </c>
      <c r="CA210" s="139">
        <v>873</v>
      </c>
      <c r="CB210" s="176"/>
      <c r="CC210" s="139">
        <v>558</v>
      </c>
      <c r="CD210" s="151">
        <v>-1310</v>
      </c>
      <c r="CE210" s="151">
        <v>-439</v>
      </c>
      <c r="CF210" s="138">
        <v>18281</v>
      </c>
      <c r="CG210" s="139">
        <v>16255</v>
      </c>
      <c r="CH210" s="139">
        <v>387</v>
      </c>
      <c r="CI210" s="139">
        <v>1639</v>
      </c>
      <c r="CJ210" s="114">
        <v>19.75</v>
      </c>
      <c r="CK210" s="152"/>
      <c r="CL210" s="138">
        <v>65</v>
      </c>
      <c r="CM210" s="190">
        <v>5384</v>
      </c>
      <c r="CN210" s="146"/>
      <c r="CO210" s="150">
        <v>1.5588835942818244</v>
      </c>
      <c r="CP210" s="150">
        <v>48.14997533300444</v>
      </c>
      <c r="CQ210" s="151">
        <v>-2622.95690936107</v>
      </c>
      <c r="CR210" s="152"/>
      <c r="CS210" s="152"/>
      <c r="CT210" s="152"/>
      <c r="CU210" s="150">
        <v>44.1220556745182</v>
      </c>
      <c r="CV210" s="151">
        <v>104.56909361069837</v>
      </c>
      <c r="CW210" s="151">
        <v>6.140778149653359</v>
      </c>
      <c r="CX210" s="154">
        <v>6215.453194650818</v>
      </c>
      <c r="CY210" s="146">
        <v>10022</v>
      </c>
      <c r="CZ210" s="139">
        <v>3915</v>
      </c>
      <c r="DA210" s="139">
        <v>30175</v>
      </c>
      <c r="DB210" s="139">
        <v>-26260</v>
      </c>
      <c r="DC210" s="146">
        <v>19591</v>
      </c>
      <c r="DD210" s="146">
        <v>8926</v>
      </c>
      <c r="DE210" s="160"/>
      <c r="DG210" s="138">
        <v>-89</v>
      </c>
      <c r="DH210" s="138">
        <v>9</v>
      </c>
      <c r="DI210" s="139">
        <v>2177</v>
      </c>
      <c r="DJ210" s="138">
        <v>1204</v>
      </c>
      <c r="DL210" s="139"/>
      <c r="DM210" s="139">
        <v>973</v>
      </c>
      <c r="DQ210" s="138">
        <v>973</v>
      </c>
      <c r="DR210" s="139">
        <v>3968</v>
      </c>
      <c r="DS210" s="139">
        <v>1742</v>
      </c>
      <c r="DT210" s="176"/>
      <c r="DU210" s="139">
        <v>-239</v>
      </c>
      <c r="DV210" s="151">
        <v>-1356</v>
      </c>
      <c r="DW210" s="138">
        <v>686</v>
      </c>
      <c r="DX210" s="138">
        <v>19591</v>
      </c>
      <c r="DY210" s="146">
        <v>17491</v>
      </c>
      <c r="DZ210" s="196">
        <v>469</v>
      </c>
      <c r="EA210" s="146">
        <v>1631</v>
      </c>
      <c r="EB210" s="114">
        <v>19.75</v>
      </c>
      <c r="EC210" s="152"/>
      <c r="ED210" s="138">
        <v>84</v>
      </c>
      <c r="EE210" s="138">
        <v>15143</v>
      </c>
      <c r="EF210" s="138">
        <v>16091</v>
      </c>
      <c r="EG210" s="138">
        <v>17056</v>
      </c>
      <c r="EH210" s="138"/>
      <c r="EI210" s="138"/>
      <c r="EJ210" s="138"/>
      <c r="EK210" s="3">
        <v>-4423</v>
      </c>
      <c r="EL210" s="138">
        <v>18</v>
      </c>
      <c r="EM210" s="138">
        <v>345</v>
      </c>
      <c r="EN210" s="3">
        <v>-2252</v>
      </c>
      <c r="EO210" s="138">
        <v>80</v>
      </c>
      <c r="EP210" s="138">
        <v>860</v>
      </c>
      <c r="EQ210" s="3">
        <v>-1768</v>
      </c>
      <c r="ER210" s="138">
        <v>95</v>
      </c>
      <c r="ES210" s="138">
        <v>617</v>
      </c>
      <c r="ET210" s="163"/>
      <c r="EU210" s="163">
        <v>4200</v>
      </c>
      <c r="EV210" s="138">
        <v>500</v>
      </c>
      <c r="EW210" s="138">
        <v>1900</v>
      </c>
      <c r="EX210" s="138"/>
      <c r="EY210" s="138">
        <v>-400</v>
      </c>
      <c r="EZ210" s="138">
        <v>12303</v>
      </c>
      <c r="FA210" s="138">
        <v>5693</v>
      </c>
      <c r="FB210" s="138">
        <v>6610</v>
      </c>
      <c r="FC210" s="138">
        <v>1554</v>
      </c>
      <c r="FD210" s="138">
        <v>13393</v>
      </c>
      <c r="FE210" s="138">
        <v>4837</v>
      </c>
      <c r="FF210" s="138">
        <v>8556</v>
      </c>
      <c r="FG210" s="138">
        <v>1624</v>
      </c>
      <c r="FH210" s="138">
        <v>11636</v>
      </c>
      <c r="FI210" s="138">
        <v>3560</v>
      </c>
      <c r="FJ210" s="138">
        <v>8076</v>
      </c>
      <c r="FK210" s="138">
        <v>1217</v>
      </c>
      <c r="FL210" s="147">
        <v>2728</v>
      </c>
      <c r="FM210" s="147">
        <v>2918.169983262042</v>
      </c>
      <c r="FO210" s="181">
        <f t="shared" si="9"/>
        <v>885.620253164557</v>
      </c>
      <c r="FP210" s="179">
        <f t="shared" si="11"/>
        <v>164.49113171704252</v>
      </c>
      <c r="FR210" s="184"/>
      <c r="FV210" s="184">
        <v>1368</v>
      </c>
      <c r="FW210" s="2">
        <f t="shared" si="10"/>
        <v>-1368</v>
      </c>
    </row>
    <row r="211" spans="1:179" ht="12.75">
      <c r="A211" s="82">
        <v>625</v>
      </c>
      <c r="B211" s="80" t="s">
        <v>202</v>
      </c>
      <c r="C211" s="191">
        <v>3361</v>
      </c>
      <c r="D211" s="146"/>
      <c r="E211" s="150">
        <v>1.5084306095979247</v>
      </c>
      <c r="F211" s="150">
        <v>55.3</v>
      </c>
      <c r="G211" s="151">
        <v>-775</v>
      </c>
      <c r="H211" s="152"/>
      <c r="I211" s="152"/>
      <c r="J211" s="152"/>
      <c r="K211" s="150">
        <v>55.9</v>
      </c>
      <c r="L211" s="151">
        <v>2248</v>
      </c>
      <c r="M211" s="151">
        <v>133</v>
      </c>
      <c r="N211" s="154">
        <v>7512.049985123475</v>
      </c>
      <c r="O211" s="146">
        <v>6293</v>
      </c>
      <c r="P211" s="139">
        <v>2107</v>
      </c>
      <c r="Q211" s="139">
        <v>18832</v>
      </c>
      <c r="R211" s="139">
        <v>-16725</v>
      </c>
      <c r="S211" s="146">
        <v>9028</v>
      </c>
      <c r="T211" s="139">
        <v>8636</v>
      </c>
      <c r="U211" s="160"/>
      <c r="W211" s="138">
        <v>-68</v>
      </c>
      <c r="X211" s="138">
        <v>22</v>
      </c>
      <c r="Y211" s="139">
        <v>893</v>
      </c>
      <c r="Z211" s="138">
        <v>549</v>
      </c>
      <c r="AC211" s="139">
        <v>344</v>
      </c>
      <c r="AG211" s="139">
        <v>344</v>
      </c>
      <c r="AH211" s="139">
        <v>7817</v>
      </c>
      <c r="AI211" s="139">
        <v>920</v>
      </c>
      <c r="AJ211" s="176"/>
      <c r="AK211" s="139">
        <v>-3</v>
      </c>
      <c r="AL211" s="151">
        <v>-501</v>
      </c>
      <c r="AM211" s="151">
        <v>293</v>
      </c>
      <c r="AN211" s="146">
        <v>9028</v>
      </c>
      <c r="AO211" s="139">
        <v>8219</v>
      </c>
      <c r="AP211" s="139">
        <v>435</v>
      </c>
      <c r="AQ211" s="139">
        <v>374</v>
      </c>
      <c r="AR211" s="114">
        <v>19.75</v>
      </c>
      <c r="AS211" s="152"/>
      <c r="AT211" s="138">
        <v>155</v>
      </c>
      <c r="AU211" s="191">
        <v>3311</v>
      </c>
      <c r="AV211" s="146"/>
      <c r="AW211" s="150">
        <v>1.4170692431561998</v>
      </c>
      <c r="AX211" s="150">
        <v>63.2</v>
      </c>
      <c r="AY211" s="151">
        <v>-1142</v>
      </c>
      <c r="AZ211" s="152"/>
      <c r="BA211" s="152"/>
      <c r="BB211" s="152"/>
      <c r="BC211" s="150">
        <v>52.2</v>
      </c>
      <c r="BD211" s="151">
        <v>2361</v>
      </c>
      <c r="BE211" s="151">
        <v>123</v>
      </c>
      <c r="BF211" s="154">
        <v>7008.45665961945</v>
      </c>
      <c r="BG211" s="146">
        <v>6587</v>
      </c>
      <c r="BH211" s="139">
        <v>2482</v>
      </c>
      <c r="BI211" s="139">
        <v>20014</v>
      </c>
      <c r="BJ211" s="139">
        <v>-17532</v>
      </c>
      <c r="BK211" s="146">
        <v>9128</v>
      </c>
      <c r="BL211" s="146">
        <v>8897</v>
      </c>
      <c r="BM211" s="160"/>
      <c r="BO211" s="138">
        <v>-4</v>
      </c>
      <c r="BP211" s="138">
        <v>271</v>
      </c>
      <c r="BQ211" s="139">
        <v>760</v>
      </c>
      <c r="BR211" s="138">
        <v>600</v>
      </c>
      <c r="BU211" s="139">
        <v>160</v>
      </c>
      <c r="BY211" s="138">
        <v>160</v>
      </c>
      <c r="BZ211" s="139">
        <v>7977</v>
      </c>
      <c r="CA211" s="139">
        <v>564</v>
      </c>
      <c r="CB211" s="176"/>
      <c r="CC211" s="139">
        <v>-578</v>
      </c>
      <c r="CD211" s="151">
        <v>-501</v>
      </c>
      <c r="CE211" s="151">
        <v>-1203</v>
      </c>
      <c r="CF211" s="138">
        <v>9128</v>
      </c>
      <c r="CG211" s="139">
        <v>8444</v>
      </c>
      <c r="CH211" s="139">
        <v>293</v>
      </c>
      <c r="CI211" s="139">
        <v>391</v>
      </c>
      <c r="CJ211" s="114">
        <v>19.75</v>
      </c>
      <c r="CK211" s="152"/>
      <c r="CL211" s="138">
        <v>95</v>
      </c>
      <c r="CM211" s="190">
        <v>3356</v>
      </c>
      <c r="CN211" s="146"/>
      <c r="CO211" s="150">
        <v>2.6368330464716006</v>
      </c>
      <c r="CP211" s="150">
        <v>58.05708374476889</v>
      </c>
      <c r="CQ211" s="151">
        <v>-839.0941597139451</v>
      </c>
      <c r="CR211" s="152"/>
      <c r="CS211" s="152"/>
      <c r="CT211" s="152"/>
      <c r="CU211" s="150">
        <v>54.822280017338535</v>
      </c>
      <c r="CV211" s="151">
        <v>2382.300357568534</v>
      </c>
      <c r="CW211" s="151">
        <v>130.04344919786095</v>
      </c>
      <c r="CX211" s="154">
        <v>6686.531585220501</v>
      </c>
      <c r="CY211" s="146">
        <v>6590</v>
      </c>
      <c r="CZ211" s="139">
        <v>2675</v>
      </c>
      <c r="DA211" s="139">
        <v>20492</v>
      </c>
      <c r="DB211" s="139">
        <v>-17817</v>
      </c>
      <c r="DC211" s="146">
        <v>9706</v>
      </c>
      <c r="DD211" s="146">
        <v>8886</v>
      </c>
      <c r="DE211" s="160"/>
      <c r="DG211" s="138">
        <v>56</v>
      </c>
      <c r="DH211" s="138">
        <v>621</v>
      </c>
      <c r="DI211" s="139">
        <v>1452</v>
      </c>
      <c r="DJ211" s="138">
        <v>615</v>
      </c>
      <c r="DM211" s="139">
        <v>837</v>
      </c>
      <c r="DQ211" s="138">
        <v>837</v>
      </c>
      <c r="DR211" s="139">
        <v>8815</v>
      </c>
      <c r="DS211" s="139">
        <v>1302</v>
      </c>
      <c r="DT211" s="176"/>
      <c r="DU211" s="139">
        <v>-179</v>
      </c>
      <c r="DV211" s="151">
        <v>-501</v>
      </c>
      <c r="DW211" s="138">
        <v>921</v>
      </c>
      <c r="DX211" s="138">
        <v>9706</v>
      </c>
      <c r="DY211" s="146">
        <v>8925</v>
      </c>
      <c r="DZ211" s="196">
        <v>432</v>
      </c>
      <c r="EA211" s="146">
        <v>349</v>
      </c>
      <c r="EB211" s="114">
        <v>19.75</v>
      </c>
      <c r="EC211" s="152"/>
      <c r="ED211" s="138">
        <v>77</v>
      </c>
      <c r="EE211" s="138">
        <v>10866</v>
      </c>
      <c r="EF211" s="138">
        <v>11675</v>
      </c>
      <c r="EG211" s="138">
        <v>11946</v>
      </c>
      <c r="EH211" s="138"/>
      <c r="EI211" s="138"/>
      <c r="EJ211" s="138"/>
      <c r="EK211" s="3">
        <v>-772</v>
      </c>
      <c r="EL211" s="138">
        <v>28</v>
      </c>
      <c r="EM211" s="138">
        <v>117</v>
      </c>
      <c r="EN211" s="3">
        <v>-2477</v>
      </c>
      <c r="EO211" s="138">
        <v>510</v>
      </c>
      <c r="EP211" s="138">
        <v>200</v>
      </c>
      <c r="EQ211" s="3">
        <v>-1249</v>
      </c>
      <c r="ER211" s="138">
        <v>459</v>
      </c>
      <c r="ES211" s="138">
        <v>409</v>
      </c>
      <c r="ET211" s="163"/>
      <c r="EU211" s="163">
        <v>700</v>
      </c>
      <c r="EV211" s="138"/>
      <c r="EW211" s="138">
        <v>2300</v>
      </c>
      <c r="EX211" s="138"/>
      <c r="EY211" s="138"/>
      <c r="EZ211" s="138">
        <v>9049</v>
      </c>
      <c r="FA211" s="138">
        <v>2348</v>
      </c>
      <c r="FB211" s="138">
        <v>6701</v>
      </c>
      <c r="FC211" s="138">
        <v>1293</v>
      </c>
      <c r="FD211" s="138">
        <v>10848</v>
      </c>
      <c r="FE211" s="138">
        <v>1847</v>
      </c>
      <c r="FF211" s="138">
        <v>9001</v>
      </c>
      <c r="FG211" s="138">
        <v>1293</v>
      </c>
      <c r="FH211" s="138">
        <v>10348</v>
      </c>
      <c r="FI211" s="138">
        <v>1347</v>
      </c>
      <c r="FJ211" s="138">
        <v>9001</v>
      </c>
      <c r="FK211" s="138">
        <v>1233</v>
      </c>
      <c r="FL211" s="147">
        <v>4859</v>
      </c>
      <c r="FM211" s="147">
        <v>5423.135004530353</v>
      </c>
      <c r="FO211" s="181">
        <f t="shared" si="9"/>
        <v>451.8987341772152</v>
      </c>
      <c r="FP211" s="179">
        <f t="shared" si="11"/>
        <v>134.65397323516544</v>
      </c>
      <c r="FR211" s="184"/>
      <c r="FV211" s="184">
        <v>501</v>
      </c>
      <c r="FW211" s="2">
        <f t="shared" si="10"/>
        <v>-501</v>
      </c>
    </row>
    <row r="212" spans="1:179" ht="12.75">
      <c r="A212" s="82">
        <v>626</v>
      </c>
      <c r="B212" s="80" t="s">
        <v>203</v>
      </c>
      <c r="C212" s="191">
        <v>5887</v>
      </c>
      <c r="D212" s="146"/>
      <c r="E212" s="150">
        <v>3.0306122448979593</v>
      </c>
      <c r="F212" s="150">
        <v>23.3</v>
      </c>
      <c r="G212" s="151">
        <v>494</v>
      </c>
      <c r="H212" s="152"/>
      <c r="I212" s="152"/>
      <c r="J212" s="152"/>
      <c r="K212" s="150">
        <v>78.8</v>
      </c>
      <c r="L212" s="151">
        <v>1769</v>
      </c>
      <c r="M212" s="151">
        <v>95</v>
      </c>
      <c r="N212" s="154">
        <v>6721.4200781382715</v>
      </c>
      <c r="O212" s="146">
        <v>8499</v>
      </c>
      <c r="P212" s="139">
        <v>5403</v>
      </c>
      <c r="Q212" s="139">
        <v>37795</v>
      </c>
      <c r="R212" s="139">
        <v>-32392</v>
      </c>
      <c r="S212" s="146">
        <v>18136</v>
      </c>
      <c r="T212" s="139">
        <v>15986</v>
      </c>
      <c r="U212" s="160"/>
      <c r="W212" s="138">
        <v>-88</v>
      </c>
      <c r="X212" s="138">
        <v>544</v>
      </c>
      <c r="Y212" s="139">
        <v>2186</v>
      </c>
      <c r="Z212" s="138">
        <v>1170</v>
      </c>
      <c r="AC212" s="139">
        <v>1016</v>
      </c>
      <c r="AD212" s="138">
        <v>-788</v>
      </c>
      <c r="AE212" s="138">
        <v>1099</v>
      </c>
      <c r="AF212" s="138">
        <v>-1300</v>
      </c>
      <c r="AG212" s="139">
        <v>27</v>
      </c>
      <c r="AH212" s="139">
        <v>5396</v>
      </c>
      <c r="AI212" s="139">
        <v>2163</v>
      </c>
      <c r="AJ212" s="176"/>
      <c r="AK212" s="138">
        <v>1025</v>
      </c>
      <c r="AL212" s="151">
        <v>-594</v>
      </c>
      <c r="AM212" s="151">
        <v>1072</v>
      </c>
      <c r="AN212" s="146">
        <v>18136</v>
      </c>
      <c r="AO212" s="139">
        <v>13588</v>
      </c>
      <c r="AP212" s="139">
        <v>3666</v>
      </c>
      <c r="AQ212" s="139">
        <v>882</v>
      </c>
      <c r="AR212" s="114">
        <v>19.75</v>
      </c>
      <c r="AS212" s="152"/>
      <c r="AT212" s="138">
        <v>85</v>
      </c>
      <c r="AU212" s="191">
        <v>5849</v>
      </c>
      <c r="AV212" s="146"/>
      <c r="AW212" s="150">
        <v>1.2966841186736475</v>
      </c>
      <c r="AX212" s="150">
        <v>22.5</v>
      </c>
      <c r="AY212" s="151">
        <v>332</v>
      </c>
      <c r="AZ212" s="152"/>
      <c r="BA212" s="152"/>
      <c r="BB212" s="152"/>
      <c r="BC212" s="150">
        <v>78.5</v>
      </c>
      <c r="BD212" s="151">
        <v>1361</v>
      </c>
      <c r="BE212" s="151">
        <v>67</v>
      </c>
      <c r="BF212" s="154">
        <v>7421.952470507779</v>
      </c>
      <c r="BG212" s="146">
        <v>8954</v>
      </c>
      <c r="BH212" s="139">
        <v>5966</v>
      </c>
      <c r="BI212" s="139">
        <v>40961</v>
      </c>
      <c r="BJ212" s="139">
        <v>-34995</v>
      </c>
      <c r="BK212" s="146">
        <v>18343</v>
      </c>
      <c r="BL212" s="146">
        <v>16858</v>
      </c>
      <c r="BM212" s="160"/>
      <c r="BO212" s="138">
        <v>-50</v>
      </c>
      <c r="BP212" s="138">
        <v>483</v>
      </c>
      <c r="BQ212" s="139">
        <v>639</v>
      </c>
      <c r="BR212" s="138">
        <v>1146</v>
      </c>
      <c r="BU212" s="139">
        <v>-507</v>
      </c>
      <c r="BV212" s="138">
        <v>-54</v>
      </c>
      <c r="BW212" s="138">
        <v>368</v>
      </c>
      <c r="BX212" s="138">
        <v>236</v>
      </c>
      <c r="BY212" s="138">
        <v>43</v>
      </c>
      <c r="BZ212" s="139">
        <v>5439</v>
      </c>
      <c r="CA212" s="139">
        <v>617</v>
      </c>
      <c r="CB212" s="176"/>
      <c r="CC212" s="138">
        <v>-1549</v>
      </c>
      <c r="CD212" s="151">
        <v>-469</v>
      </c>
      <c r="CE212" s="151">
        <v>-924</v>
      </c>
      <c r="CF212" s="138">
        <v>18343</v>
      </c>
      <c r="CG212" s="139">
        <v>13997</v>
      </c>
      <c r="CH212" s="139">
        <v>3513</v>
      </c>
      <c r="CI212" s="139">
        <v>833</v>
      </c>
      <c r="CJ212" s="114">
        <v>19.75</v>
      </c>
      <c r="CK212" s="152"/>
      <c r="CL212" s="138">
        <v>186</v>
      </c>
      <c r="CM212" s="190">
        <v>5731</v>
      </c>
      <c r="CN212" s="146"/>
      <c r="CO212" s="150">
        <v>5.422586520947177</v>
      </c>
      <c r="CP212" s="150">
        <v>19.67604137302947</v>
      </c>
      <c r="CQ212" s="151">
        <v>328.73844006281627</v>
      </c>
      <c r="CR212" s="152"/>
      <c r="CS212" s="152"/>
      <c r="CT212" s="152"/>
      <c r="CU212" s="150">
        <v>79.4406768428726</v>
      </c>
      <c r="CV212" s="151">
        <v>1537.4280230326297</v>
      </c>
      <c r="CW212" s="151">
        <v>67.8055028462998</v>
      </c>
      <c r="CX212" s="154">
        <v>8276.04257546676</v>
      </c>
      <c r="CY212" s="146">
        <v>9543</v>
      </c>
      <c r="CZ212" s="139">
        <v>6211</v>
      </c>
      <c r="DA212" s="139">
        <v>43543</v>
      </c>
      <c r="DB212" s="139">
        <v>-37332</v>
      </c>
      <c r="DC212" s="146">
        <v>21487</v>
      </c>
      <c r="DD212" s="146">
        <v>18419</v>
      </c>
      <c r="DE212" s="160"/>
      <c r="DG212" s="138">
        <v>79</v>
      </c>
      <c r="DH212" s="138">
        <v>245</v>
      </c>
      <c r="DI212" s="139">
        <v>2898</v>
      </c>
      <c r="DJ212" s="138">
        <v>1566</v>
      </c>
      <c r="DM212" s="139">
        <v>1332</v>
      </c>
      <c r="DN212" s="138">
        <v>262</v>
      </c>
      <c r="DO212" s="138">
        <v>-965</v>
      </c>
      <c r="DQ212" s="138">
        <v>629</v>
      </c>
      <c r="DR212" s="139">
        <v>6068</v>
      </c>
      <c r="DS212" s="139">
        <v>2792</v>
      </c>
      <c r="DT212" s="176"/>
      <c r="DU212" s="138">
        <v>1097</v>
      </c>
      <c r="DV212" s="151">
        <v>-469</v>
      </c>
      <c r="DW212" s="138">
        <v>-192</v>
      </c>
      <c r="DX212" s="138">
        <v>21487</v>
      </c>
      <c r="DY212" s="146">
        <v>14584</v>
      </c>
      <c r="DZ212" s="196">
        <v>6043</v>
      </c>
      <c r="EA212" s="146">
        <v>860</v>
      </c>
      <c r="EB212" s="114">
        <v>19.75</v>
      </c>
      <c r="EC212" s="152"/>
      <c r="ED212" s="138">
        <v>58</v>
      </c>
      <c r="EE212" s="138">
        <v>25943</v>
      </c>
      <c r="EF212" s="138">
        <v>28005</v>
      </c>
      <c r="EG212" s="138">
        <v>30026</v>
      </c>
      <c r="EH212" s="138"/>
      <c r="EI212" s="138"/>
      <c r="EJ212" s="138"/>
      <c r="EK212" s="3">
        <v>-1277</v>
      </c>
      <c r="EL212" s="138">
        <v>139</v>
      </c>
      <c r="EM212" s="138">
        <v>47</v>
      </c>
      <c r="EN212" s="3">
        <v>-1634</v>
      </c>
      <c r="EO212" s="138">
        <v>28</v>
      </c>
      <c r="EP212" s="138">
        <v>65</v>
      </c>
      <c r="EQ212" s="3">
        <v>-3214</v>
      </c>
      <c r="ER212" s="138">
        <v>139</v>
      </c>
      <c r="ES212" s="138">
        <v>91</v>
      </c>
      <c r="ET212" s="163"/>
      <c r="EU212" s="163">
        <v>-525</v>
      </c>
      <c r="EV212" s="138"/>
      <c r="EW212" s="138">
        <v>-405</v>
      </c>
      <c r="EX212" s="138"/>
      <c r="EY212" s="138"/>
      <c r="EZ212" s="138">
        <v>3010</v>
      </c>
      <c r="FA212" s="138">
        <v>2136</v>
      </c>
      <c r="FB212" s="138">
        <v>874</v>
      </c>
      <c r="FC212" s="138">
        <v>1524</v>
      </c>
      <c r="FD212" s="138">
        <v>2136</v>
      </c>
      <c r="FE212" s="138">
        <v>1667</v>
      </c>
      <c r="FF212" s="138">
        <v>469</v>
      </c>
      <c r="FG212" s="138">
        <v>1507</v>
      </c>
      <c r="FH212" s="138">
        <v>1668</v>
      </c>
      <c r="FI212" s="138">
        <v>1199</v>
      </c>
      <c r="FJ212" s="138">
        <v>469</v>
      </c>
      <c r="FK212" s="138">
        <v>1393</v>
      </c>
      <c r="FL212" s="147">
        <v>1867</v>
      </c>
      <c r="FM212" s="147">
        <v>1919.8153530518036</v>
      </c>
      <c r="FO212" s="181">
        <f t="shared" si="9"/>
        <v>738.4303797468355</v>
      </c>
      <c r="FP212" s="179">
        <f t="shared" si="11"/>
        <v>128.84843478395314</v>
      </c>
      <c r="FR212" s="184"/>
      <c r="FV212" s="184">
        <v>594</v>
      </c>
      <c r="FW212" s="2">
        <f t="shared" si="10"/>
        <v>-594</v>
      </c>
    </row>
    <row r="213" spans="1:179" ht="12.75">
      <c r="A213" s="82">
        <v>630</v>
      </c>
      <c r="B213" s="80" t="s">
        <v>204</v>
      </c>
      <c r="C213" s="191">
        <v>1584</v>
      </c>
      <c r="D213" s="146"/>
      <c r="E213" s="150">
        <v>1.2859375</v>
      </c>
      <c r="F213" s="150">
        <v>54.1</v>
      </c>
      <c r="G213" s="151">
        <v>-2757</v>
      </c>
      <c r="H213" s="152"/>
      <c r="I213" s="152"/>
      <c r="J213" s="152"/>
      <c r="K213" s="150">
        <v>56.6</v>
      </c>
      <c r="L213" s="151">
        <v>263</v>
      </c>
      <c r="M213" s="151">
        <v>11</v>
      </c>
      <c r="N213" s="154">
        <v>7815.656565656565</v>
      </c>
      <c r="O213" s="146">
        <v>4635</v>
      </c>
      <c r="P213" s="139">
        <v>1528</v>
      </c>
      <c r="Q213" s="139">
        <v>10430</v>
      </c>
      <c r="R213" s="139">
        <v>-8902</v>
      </c>
      <c r="S213" s="146">
        <v>4341</v>
      </c>
      <c r="T213" s="139">
        <v>5304</v>
      </c>
      <c r="U213" s="160"/>
      <c r="W213" s="138">
        <v>-60</v>
      </c>
      <c r="X213" s="138">
        <v>2</v>
      </c>
      <c r="Y213" s="139">
        <v>685</v>
      </c>
      <c r="Z213" s="138">
        <v>439</v>
      </c>
      <c r="AC213" s="139">
        <v>246</v>
      </c>
      <c r="AD213" s="138">
        <v>29</v>
      </c>
      <c r="AG213" s="139">
        <v>275</v>
      </c>
      <c r="AH213" s="139">
        <v>1884</v>
      </c>
      <c r="AI213" s="139">
        <v>648</v>
      </c>
      <c r="AJ213" s="176"/>
      <c r="AK213" s="138">
        <v>-353</v>
      </c>
      <c r="AL213" s="151">
        <v>-502</v>
      </c>
      <c r="AM213" s="151">
        <v>-934</v>
      </c>
      <c r="AN213" s="146">
        <v>4341</v>
      </c>
      <c r="AO213" s="139">
        <v>3636</v>
      </c>
      <c r="AP213" s="139">
        <v>446</v>
      </c>
      <c r="AQ213" s="139">
        <v>259</v>
      </c>
      <c r="AR213" s="114">
        <v>19.75</v>
      </c>
      <c r="AS213" s="152"/>
      <c r="AT213" s="138">
        <v>62</v>
      </c>
      <c r="AU213" s="191">
        <v>1566</v>
      </c>
      <c r="AV213" s="146"/>
      <c r="AW213" s="150">
        <v>1.088282504012841</v>
      </c>
      <c r="AX213" s="150">
        <v>60.8</v>
      </c>
      <c r="AY213" s="151">
        <v>-3458</v>
      </c>
      <c r="AZ213" s="152"/>
      <c r="BA213" s="152"/>
      <c r="BB213" s="152"/>
      <c r="BC213" s="150">
        <v>54</v>
      </c>
      <c r="BD213" s="151">
        <v>201</v>
      </c>
      <c r="BE213" s="151">
        <v>9</v>
      </c>
      <c r="BF213" s="154">
        <v>8607.27969348659</v>
      </c>
      <c r="BG213" s="146">
        <v>4768</v>
      </c>
      <c r="BH213" s="139">
        <v>1760</v>
      </c>
      <c r="BI213" s="139">
        <v>10607</v>
      </c>
      <c r="BJ213" s="139">
        <v>-8847</v>
      </c>
      <c r="BK213" s="146">
        <v>3958</v>
      </c>
      <c r="BL213" s="146">
        <v>5548</v>
      </c>
      <c r="BM213" s="160"/>
      <c r="BO213" s="138">
        <v>-74</v>
      </c>
      <c r="BP213" s="138">
        <v>1</v>
      </c>
      <c r="BQ213" s="139">
        <v>586</v>
      </c>
      <c r="BR213" s="138">
        <v>443</v>
      </c>
      <c r="BU213" s="139">
        <v>143</v>
      </c>
      <c r="BV213" s="138">
        <v>-250</v>
      </c>
      <c r="BW213" s="138">
        <v>280</v>
      </c>
      <c r="BY213" s="138">
        <v>173</v>
      </c>
      <c r="BZ213" s="139">
        <v>2057</v>
      </c>
      <c r="CA213" s="139">
        <v>550</v>
      </c>
      <c r="CB213" s="176"/>
      <c r="CC213" s="138">
        <v>141</v>
      </c>
      <c r="CD213" s="151">
        <v>-531</v>
      </c>
      <c r="CE213" s="151">
        <v>-1056</v>
      </c>
      <c r="CF213" s="138">
        <v>3958</v>
      </c>
      <c r="CG213" s="139">
        <v>3423</v>
      </c>
      <c r="CH213" s="139">
        <v>269</v>
      </c>
      <c r="CI213" s="139">
        <v>266</v>
      </c>
      <c r="CJ213" s="114">
        <v>19.75</v>
      </c>
      <c r="CK213" s="152"/>
      <c r="CL213" s="138">
        <v>46</v>
      </c>
      <c r="CM213" s="190">
        <v>1545</v>
      </c>
      <c r="CN213" s="146"/>
      <c r="CO213" s="150">
        <v>1.4588938714499253</v>
      </c>
      <c r="CP213" s="150">
        <v>58.22887839817679</v>
      </c>
      <c r="CQ213" s="151">
        <v>-3634.304207119741</v>
      </c>
      <c r="CR213" s="152"/>
      <c r="CS213" s="152"/>
      <c r="CT213" s="152"/>
      <c r="CU213" s="150">
        <v>54.10287617705464</v>
      </c>
      <c r="CV213" s="151">
        <v>548.2200647249191</v>
      </c>
      <c r="CW213" s="151">
        <v>22.939452400385843</v>
      </c>
      <c r="CX213" s="154">
        <v>8722.977346278316</v>
      </c>
      <c r="CY213" s="146">
        <v>4887</v>
      </c>
      <c r="CZ213" s="139">
        <v>1785</v>
      </c>
      <c r="DA213" s="139">
        <v>11318</v>
      </c>
      <c r="DB213" s="139">
        <v>-9533</v>
      </c>
      <c r="DC213" s="146">
        <v>4221</v>
      </c>
      <c r="DD213" s="146">
        <v>6280</v>
      </c>
      <c r="DE213" s="160"/>
      <c r="DG213" s="138">
        <v>-47</v>
      </c>
      <c r="DH213" s="138">
        <v>1</v>
      </c>
      <c r="DI213" s="139">
        <v>922</v>
      </c>
      <c r="DJ213" s="138">
        <v>528</v>
      </c>
      <c r="DM213" s="139">
        <v>394</v>
      </c>
      <c r="DN213" s="138">
        <v>81</v>
      </c>
      <c r="DQ213" s="138">
        <v>475</v>
      </c>
      <c r="DR213" s="139">
        <v>2532</v>
      </c>
      <c r="DS213" s="139">
        <v>920</v>
      </c>
      <c r="DT213" s="176"/>
      <c r="DU213" s="138">
        <v>427</v>
      </c>
      <c r="DV213" s="151">
        <v>-615</v>
      </c>
      <c r="DW213" s="138">
        <v>-311</v>
      </c>
      <c r="DX213" s="138">
        <v>4221</v>
      </c>
      <c r="DY213" s="146">
        <v>3579</v>
      </c>
      <c r="DZ213" s="196">
        <v>366</v>
      </c>
      <c r="EA213" s="146">
        <v>276</v>
      </c>
      <c r="EB213" s="114">
        <v>19.75</v>
      </c>
      <c r="EC213" s="152"/>
      <c r="ED213" s="138">
        <v>34</v>
      </c>
      <c r="EE213" s="138">
        <v>4566</v>
      </c>
      <c r="EF213" s="138">
        <v>4539</v>
      </c>
      <c r="EG213" s="138">
        <v>5144</v>
      </c>
      <c r="EH213" s="138"/>
      <c r="EI213" s="138"/>
      <c r="EJ213" s="138"/>
      <c r="EK213" s="3">
        <v>-2422</v>
      </c>
      <c r="EL213" s="138">
        <v>796</v>
      </c>
      <c r="EM213" s="138">
        <v>44</v>
      </c>
      <c r="EN213" s="3">
        <v>-2248</v>
      </c>
      <c r="EO213" s="138">
        <v>596</v>
      </c>
      <c r="EP213" s="138">
        <v>46</v>
      </c>
      <c r="EQ213" s="3">
        <v>-1411</v>
      </c>
      <c r="ER213" s="138">
        <v>175</v>
      </c>
      <c r="ES213" s="138">
        <v>5</v>
      </c>
      <c r="ET213" s="163"/>
      <c r="EU213" s="163">
        <v>1600</v>
      </c>
      <c r="EV213" s="138">
        <v>2300</v>
      </c>
      <c r="EW213" s="138">
        <v>-500</v>
      </c>
      <c r="EX213" s="138"/>
      <c r="EY213" s="138">
        <v>700</v>
      </c>
      <c r="EZ213" s="138">
        <v>4447</v>
      </c>
      <c r="FA213" s="138">
        <v>1890</v>
      </c>
      <c r="FB213" s="138">
        <v>2557</v>
      </c>
      <c r="FC213" s="138">
        <v>804</v>
      </c>
      <c r="FD213" s="138">
        <v>5715</v>
      </c>
      <c r="FE213" s="138">
        <v>3501</v>
      </c>
      <c r="FF213" s="138">
        <v>2214</v>
      </c>
      <c r="FG213" s="138">
        <v>798</v>
      </c>
      <c r="FH213" s="138">
        <v>5800</v>
      </c>
      <c r="FI213" s="138">
        <v>2959</v>
      </c>
      <c r="FJ213" s="138">
        <v>2841</v>
      </c>
      <c r="FK213" s="138">
        <v>681</v>
      </c>
      <c r="FL213" s="147">
        <v>4311</v>
      </c>
      <c r="FM213" s="147">
        <v>5101.532567049809</v>
      </c>
      <c r="FO213" s="181">
        <f t="shared" si="9"/>
        <v>181.21518987341773</v>
      </c>
      <c r="FP213" s="179">
        <f t="shared" si="11"/>
        <v>117.29138503133834</v>
      </c>
      <c r="FR213" s="184"/>
      <c r="FV213" s="184">
        <v>502</v>
      </c>
      <c r="FW213" s="2">
        <f t="shared" si="10"/>
        <v>-502</v>
      </c>
    </row>
    <row r="214" spans="1:179" ht="12.75">
      <c r="A214" s="82">
        <v>631</v>
      </c>
      <c r="B214" s="80" t="s">
        <v>205</v>
      </c>
      <c r="C214" s="191">
        <v>2206</v>
      </c>
      <c r="D214" s="146"/>
      <c r="E214" s="150">
        <v>8.08955223880597</v>
      </c>
      <c r="F214" s="150">
        <v>16.6</v>
      </c>
      <c r="G214" s="151">
        <v>512</v>
      </c>
      <c r="H214" s="152"/>
      <c r="I214" s="152"/>
      <c r="J214" s="152"/>
      <c r="K214" s="150">
        <v>78.7</v>
      </c>
      <c r="L214" s="151">
        <v>1248</v>
      </c>
      <c r="M214" s="151">
        <v>95</v>
      </c>
      <c r="N214" s="154">
        <v>5947.416137805984</v>
      </c>
      <c r="O214" s="146">
        <v>2663</v>
      </c>
      <c r="P214" s="139">
        <v>993</v>
      </c>
      <c r="Q214" s="139">
        <v>10183</v>
      </c>
      <c r="R214" s="139">
        <v>-9190</v>
      </c>
      <c r="S214" s="146">
        <v>7201</v>
      </c>
      <c r="T214" s="139">
        <v>2947</v>
      </c>
      <c r="U214" s="160"/>
      <c r="W214" s="138">
        <v>10</v>
      </c>
      <c r="X214" s="138">
        <v>37</v>
      </c>
      <c r="Y214" s="139">
        <v>1005</v>
      </c>
      <c r="Z214" s="138">
        <v>293</v>
      </c>
      <c r="AA214" s="138">
        <v>66</v>
      </c>
      <c r="AC214" s="139">
        <v>778</v>
      </c>
      <c r="AD214" s="139"/>
      <c r="AE214" s="138">
        <v>-500</v>
      </c>
      <c r="AG214" s="139">
        <v>278</v>
      </c>
      <c r="AH214" s="139">
        <v>1003</v>
      </c>
      <c r="AI214" s="139">
        <v>1058</v>
      </c>
      <c r="AJ214" s="176"/>
      <c r="AK214" s="139">
        <v>422</v>
      </c>
      <c r="AL214" s="151">
        <v>-55</v>
      </c>
      <c r="AM214" s="151">
        <v>736</v>
      </c>
      <c r="AN214" s="146">
        <v>7201</v>
      </c>
      <c r="AO214" s="139">
        <v>6460</v>
      </c>
      <c r="AP214" s="139">
        <v>391</v>
      </c>
      <c r="AQ214" s="139">
        <v>350</v>
      </c>
      <c r="AR214" s="114">
        <v>19.5</v>
      </c>
      <c r="AS214" s="152"/>
      <c r="AT214" s="138">
        <v>52</v>
      </c>
      <c r="AU214" s="191">
        <v>2199</v>
      </c>
      <c r="AV214" s="146"/>
      <c r="AW214" s="150">
        <v>6.145161290322581</v>
      </c>
      <c r="AX214" s="150">
        <v>16.8</v>
      </c>
      <c r="AY214" s="151">
        <v>521</v>
      </c>
      <c r="AZ214" s="152"/>
      <c r="BA214" s="152"/>
      <c r="BB214" s="152"/>
      <c r="BC214" s="150">
        <v>79.3</v>
      </c>
      <c r="BD214" s="151">
        <v>1080</v>
      </c>
      <c r="BE214" s="151">
        <v>76</v>
      </c>
      <c r="BF214" s="154">
        <v>5206.457480673033</v>
      </c>
      <c r="BG214" s="146">
        <v>2811</v>
      </c>
      <c r="BH214" s="139">
        <v>1070</v>
      </c>
      <c r="BI214" s="139">
        <v>10831</v>
      </c>
      <c r="BJ214" s="139">
        <v>-9761</v>
      </c>
      <c r="BK214" s="146">
        <v>7186</v>
      </c>
      <c r="BL214" s="146">
        <v>2913</v>
      </c>
      <c r="BM214" s="160"/>
      <c r="BO214" s="138">
        <v>15</v>
      </c>
      <c r="BP214" s="138">
        <v>21</v>
      </c>
      <c r="BQ214" s="139">
        <v>374</v>
      </c>
      <c r="BR214" s="138">
        <v>287</v>
      </c>
      <c r="BS214" s="138">
        <v>50</v>
      </c>
      <c r="BU214" s="139">
        <v>137</v>
      </c>
      <c r="BV214" s="139"/>
      <c r="BY214" s="138">
        <v>137</v>
      </c>
      <c r="BZ214" s="139">
        <v>1140</v>
      </c>
      <c r="CA214" s="139">
        <v>361</v>
      </c>
      <c r="CB214" s="176"/>
      <c r="CC214" s="139">
        <v>-420</v>
      </c>
      <c r="CD214" s="151">
        <v>-55</v>
      </c>
      <c r="CE214" s="151">
        <v>10</v>
      </c>
      <c r="CF214" s="138">
        <v>7186</v>
      </c>
      <c r="CG214" s="139">
        <v>6645</v>
      </c>
      <c r="CH214" s="139">
        <v>182</v>
      </c>
      <c r="CI214" s="139">
        <v>359</v>
      </c>
      <c r="CJ214" s="114">
        <v>19.5</v>
      </c>
      <c r="CK214" s="152"/>
      <c r="CL214" s="138">
        <v>140</v>
      </c>
      <c r="CM214" s="190">
        <v>2177</v>
      </c>
      <c r="CN214" s="146"/>
      <c r="CO214" s="150">
        <v>0.5344827586206896</v>
      </c>
      <c r="CP214" s="150">
        <v>16.32070576024909</v>
      </c>
      <c r="CQ214" s="151">
        <v>239.7795130914102</v>
      </c>
      <c r="CR214" s="152"/>
      <c r="CS214" s="152"/>
      <c r="CT214" s="152"/>
      <c r="CU214" s="150">
        <v>78.84489170859769</v>
      </c>
      <c r="CV214" s="151">
        <v>944.8782728525493</v>
      </c>
      <c r="CW214" s="151">
        <v>60.85305560058356</v>
      </c>
      <c r="CX214" s="154">
        <v>5667.432246210382</v>
      </c>
      <c r="CY214" s="146">
        <v>3003</v>
      </c>
      <c r="CZ214" s="139">
        <v>1095</v>
      </c>
      <c r="DA214" s="139">
        <v>11560</v>
      </c>
      <c r="DB214" s="139">
        <v>-10465</v>
      </c>
      <c r="DC214" s="146">
        <v>7491</v>
      </c>
      <c r="DD214" s="146">
        <v>2976</v>
      </c>
      <c r="DE214" s="160"/>
      <c r="DG214" s="138">
        <v>16</v>
      </c>
      <c r="DH214" s="138">
        <v>10</v>
      </c>
      <c r="DI214" s="139">
        <v>28</v>
      </c>
      <c r="DJ214" s="138">
        <v>323</v>
      </c>
      <c r="DM214" s="139">
        <v>-295</v>
      </c>
      <c r="DN214" s="139"/>
      <c r="DQ214" s="138">
        <v>-295</v>
      </c>
      <c r="DR214" s="139">
        <v>845</v>
      </c>
      <c r="DS214" s="139">
        <v>28</v>
      </c>
      <c r="DT214" s="176"/>
      <c r="DU214" s="139">
        <v>292</v>
      </c>
      <c r="DV214" s="151">
        <v>-55</v>
      </c>
      <c r="DW214" s="138">
        <v>-594</v>
      </c>
      <c r="DX214" s="138">
        <v>7491</v>
      </c>
      <c r="DY214" s="146">
        <v>6936</v>
      </c>
      <c r="DZ214" s="196">
        <v>181</v>
      </c>
      <c r="EA214" s="146">
        <v>374</v>
      </c>
      <c r="EB214" s="114">
        <v>19.5</v>
      </c>
      <c r="EC214" s="152"/>
      <c r="ED214" s="138">
        <v>271</v>
      </c>
      <c r="EE214" s="138">
        <v>6731</v>
      </c>
      <c r="EF214" s="138">
        <v>7132</v>
      </c>
      <c r="EG214" s="138">
        <v>7578</v>
      </c>
      <c r="EH214" s="138"/>
      <c r="EI214" s="138"/>
      <c r="EJ214" s="138"/>
      <c r="EK214" s="3">
        <v>-356</v>
      </c>
      <c r="EL214" s="138">
        <v>12</v>
      </c>
      <c r="EM214" s="138">
        <v>22</v>
      </c>
      <c r="EN214" s="3">
        <v>-556</v>
      </c>
      <c r="EO214" s="138">
        <v>114</v>
      </c>
      <c r="EP214" s="138">
        <v>92</v>
      </c>
      <c r="EQ214" s="3">
        <v>-720</v>
      </c>
      <c r="ER214" s="138">
        <v>98</v>
      </c>
      <c r="ET214" s="163"/>
      <c r="EU214" s="163"/>
      <c r="EV214" s="138"/>
      <c r="EW214" s="138"/>
      <c r="EX214" s="138"/>
      <c r="EY214" s="138"/>
      <c r="EZ214" s="138">
        <v>386</v>
      </c>
      <c r="FA214" s="138">
        <v>331</v>
      </c>
      <c r="FB214" s="138">
        <v>55</v>
      </c>
      <c r="FC214" s="138">
        <v>39</v>
      </c>
      <c r="FD214" s="138">
        <v>331</v>
      </c>
      <c r="FE214" s="138">
        <v>276</v>
      </c>
      <c r="FF214" s="138">
        <v>55</v>
      </c>
      <c r="FG214" s="138">
        <v>0</v>
      </c>
      <c r="FH214" s="138">
        <v>276</v>
      </c>
      <c r="FI214" s="138">
        <v>221</v>
      </c>
      <c r="FJ214" s="138">
        <v>55</v>
      </c>
      <c r="FK214" s="138">
        <v>0</v>
      </c>
      <c r="FL214" s="147">
        <v>785</v>
      </c>
      <c r="FM214" s="147">
        <v>795.3615279672579</v>
      </c>
      <c r="FO214" s="181">
        <f t="shared" si="9"/>
        <v>355.6923076923077</v>
      </c>
      <c r="FP214" s="179">
        <f t="shared" si="11"/>
        <v>163.3864527755203</v>
      </c>
      <c r="FR214" s="184"/>
      <c r="FV214" s="184">
        <v>55</v>
      </c>
      <c r="FW214" s="2">
        <f t="shared" si="10"/>
        <v>-55</v>
      </c>
    </row>
    <row r="215" spans="1:179" ht="12.75">
      <c r="A215" s="82">
        <v>635</v>
      </c>
      <c r="B215" s="80" t="s">
        <v>206</v>
      </c>
      <c r="C215" s="191">
        <v>6882</v>
      </c>
      <c r="D215" s="146"/>
      <c r="E215" s="150">
        <v>1.4188235294117648</v>
      </c>
      <c r="F215" s="150">
        <v>28.5</v>
      </c>
      <c r="G215" s="151">
        <v>69</v>
      </c>
      <c r="H215" s="152"/>
      <c r="I215" s="152"/>
      <c r="J215" s="152"/>
      <c r="K215" s="150">
        <v>71.9</v>
      </c>
      <c r="L215" s="151">
        <v>1485</v>
      </c>
      <c r="M215" s="151">
        <v>90</v>
      </c>
      <c r="N215" s="154">
        <v>5756.175530369079</v>
      </c>
      <c r="O215" s="146">
        <v>15162</v>
      </c>
      <c r="P215" s="139">
        <v>5434</v>
      </c>
      <c r="Q215" s="139">
        <v>39046</v>
      </c>
      <c r="R215" s="139">
        <v>-33612</v>
      </c>
      <c r="S215" s="146">
        <v>19555</v>
      </c>
      <c r="T215" s="139">
        <v>15103</v>
      </c>
      <c r="U215" s="160"/>
      <c r="W215" s="138">
        <v>12</v>
      </c>
      <c r="X215" s="138">
        <v>139</v>
      </c>
      <c r="Y215" s="139">
        <v>1197</v>
      </c>
      <c r="Z215" s="138">
        <v>966</v>
      </c>
      <c r="AC215" s="139">
        <v>231</v>
      </c>
      <c r="AD215" s="139">
        <v>125</v>
      </c>
      <c r="AE215" s="139"/>
      <c r="AG215" s="139">
        <v>356</v>
      </c>
      <c r="AH215" s="139">
        <v>8626</v>
      </c>
      <c r="AI215" s="139">
        <v>1147</v>
      </c>
      <c r="AJ215" s="176"/>
      <c r="AK215" s="139">
        <v>480</v>
      </c>
      <c r="AL215" s="151">
        <v>-841</v>
      </c>
      <c r="AM215" s="151">
        <v>202</v>
      </c>
      <c r="AN215" s="146">
        <v>19555</v>
      </c>
      <c r="AO215" s="139">
        <v>16800</v>
      </c>
      <c r="AP215" s="139">
        <v>1171</v>
      </c>
      <c r="AQ215" s="139">
        <v>1584</v>
      </c>
      <c r="AR215" s="114">
        <v>20</v>
      </c>
      <c r="AS215" s="152"/>
      <c r="AT215" s="138">
        <v>220</v>
      </c>
      <c r="AU215" s="191">
        <v>6838</v>
      </c>
      <c r="AV215" s="146"/>
      <c r="AW215" s="150">
        <v>1.0353227771010962</v>
      </c>
      <c r="AX215" s="150">
        <v>27.8</v>
      </c>
      <c r="AY215" s="151">
        <v>-613</v>
      </c>
      <c r="AZ215" s="152"/>
      <c r="BA215" s="152"/>
      <c r="BB215" s="152"/>
      <c r="BC215" s="150">
        <v>71.2</v>
      </c>
      <c r="BD215" s="151">
        <v>821</v>
      </c>
      <c r="BE215" s="151">
        <v>43</v>
      </c>
      <c r="BF215" s="154">
        <v>6981.28107633811</v>
      </c>
      <c r="BG215" s="146">
        <v>15504</v>
      </c>
      <c r="BH215" s="139">
        <v>5965</v>
      </c>
      <c r="BI215" s="139">
        <v>41214</v>
      </c>
      <c r="BJ215" s="139">
        <v>-35249</v>
      </c>
      <c r="BK215" s="146">
        <v>19779</v>
      </c>
      <c r="BL215" s="146">
        <v>16091</v>
      </c>
      <c r="BM215" s="160"/>
      <c r="BO215" s="138">
        <v>-1</v>
      </c>
      <c r="BP215" s="138">
        <v>105</v>
      </c>
      <c r="BQ215" s="139">
        <v>725</v>
      </c>
      <c r="BR215" s="138">
        <v>987</v>
      </c>
      <c r="BU215" s="139">
        <v>-262</v>
      </c>
      <c r="BV215" s="139">
        <v>-1904</v>
      </c>
      <c r="BW215" s="139">
        <v>2200</v>
      </c>
      <c r="BY215" s="138">
        <v>34</v>
      </c>
      <c r="BZ215" s="139">
        <v>9167</v>
      </c>
      <c r="CA215" s="139">
        <v>55</v>
      </c>
      <c r="CB215" s="176"/>
      <c r="CC215" s="139">
        <v>-118</v>
      </c>
      <c r="CD215" s="151">
        <v>-696</v>
      </c>
      <c r="CE215" s="151">
        <v>-4697</v>
      </c>
      <c r="CF215" s="138">
        <v>19779</v>
      </c>
      <c r="CG215" s="139">
        <v>17255</v>
      </c>
      <c r="CH215" s="139">
        <v>836</v>
      </c>
      <c r="CI215" s="139">
        <v>1688</v>
      </c>
      <c r="CJ215" s="114">
        <v>20</v>
      </c>
      <c r="CK215" s="152"/>
      <c r="CL215" s="138">
        <v>187</v>
      </c>
      <c r="CM215" s="190">
        <v>6795</v>
      </c>
      <c r="CN215" s="146"/>
      <c r="CO215" s="150">
        <v>2.1286713286713286</v>
      </c>
      <c r="CP215" s="150">
        <v>24.40675600223339</v>
      </c>
      <c r="CQ215" s="151">
        <v>-680.5003679175865</v>
      </c>
      <c r="CR215" s="152"/>
      <c r="CS215" s="152"/>
      <c r="CT215" s="152"/>
      <c r="CU215" s="150">
        <v>73.3430635976456</v>
      </c>
      <c r="CV215" s="151">
        <v>588.6681383370125</v>
      </c>
      <c r="CW215" s="151">
        <v>32.117559065511024</v>
      </c>
      <c r="CX215" s="154">
        <v>6689.919058130979</v>
      </c>
      <c r="CY215" s="146">
        <v>15833</v>
      </c>
      <c r="CZ215" s="139">
        <v>5414</v>
      </c>
      <c r="DA215" s="139">
        <v>41571</v>
      </c>
      <c r="DB215" s="139">
        <v>-36157</v>
      </c>
      <c r="DC215" s="146">
        <v>21030</v>
      </c>
      <c r="DD215" s="146">
        <v>16540</v>
      </c>
      <c r="DE215" s="160"/>
      <c r="DG215" s="138">
        <v>-22</v>
      </c>
      <c r="DH215" s="138">
        <v>80</v>
      </c>
      <c r="DI215" s="139">
        <v>1471</v>
      </c>
      <c r="DJ215" s="138">
        <v>1451</v>
      </c>
      <c r="DK215" s="138">
        <v>374</v>
      </c>
      <c r="DM215" s="139">
        <v>394</v>
      </c>
      <c r="DN215" s="139">
        <v>273</v>
      </c>
      <c r="DO215" s="139"/>
      <c r="DQ215" s="138">
        <v>667</v>
      </c>
      <c r="DR215" s="139">
        <v>9833</v>
      </c>
      <c r="DS215" s="139">
        <v>1839</v>
      </c>
      <c r="DT215" s="176"/>
      <c r="DU215" s="139">
        <v>-57</v>
      </c>
      <c r="DV215" s="151">
        <v>-664</v>
      </c>
      <c r="DW215" s="138">
        <v>-596</v>
      </c>
      <c r="DX215" s="138">
        <v>21030</v>
      </c>
      <c r="DY215" s="146">
        <v>18393</v>
      </c>
      <c r="DZ215" s="196">
        <v>949</v>
      </c>
      <c r="EA215" s="146">
        <v>1688</v>
      </c>
      <c r="EB215" s="114">
        <v>20</v>
      </c>
      <c r="EC215" s="152"/>
      <c r="ED215" s="138">
        <v>189</v>
      </c>
      <c r="EE215" s="138">
        <v>19544</v>
      </c>
      <c r="EF215" s="138">
        <v>20683</v>
      </c>
      <c r="EG215" s="138">
        <v>20719</v>
      </c>
      <c r="EH215" s="138"/>
      <c r="EI215" s="138"/>
      <c r="EJ215" s="138"/>
      <c r="EK215" s="3">
        <v>-1366</v>
      </c>
      <c r="EL215" s="138">
        <v>359</v>
      </c>
      <c r="EM215" s="138">
        <v>62</v>
      </c>
      <c r="EN215" s="3">
        <v>-5585</v>
      </c>
      <c r="EO215" s="138">
        <v>133</v>
      </c>
      <c r="EP215" s="138">
        <v>700</v>
      </c>
      <c r="EQ215" s="3">
        <v>-3166</v>
      </c>
      <c r="ER215" s="138">
        <v>391</v>
      </c>
      <c r="ES215" s="138">
        <v>340</v>
      </c>
      <c r="ET215" s="163">
        <v>1500</v>
      </c>
      <c r="EU215" s="163"/>
      <c r="EV215" s="138"/>
      <c r="EW215" s="138"/>
      <c r="EX215" s="138"/>
      <c r="EY215" s="138"/>
      <c r="EZ215" s="138">
        <v>4629</v>
      </c>
      <c r="FA215" s="138">
        <v>3929</v>
      </c>
      <c r="FB215" s="138">
        <v>700</v>
      </c>
      <c r="FC215" s="138">
        <v>686</v>
      </c>
      <c r="FD215" s="138">
        <v>3934</v>
      </c>
      <c r="FE215" s="138">
        <v>3269</v>
      </c>
      <c r="FF215" s="138">
        <v>665</v>
      </c>
      <c r="FG215" s="138">
        <v>649</v>
      </c>
      <c r="FH215" s="138">
        <v>3269</v>
      </c>
      <c r="FI215" s="138">
        <v>2765</v>
      </c>
      <c r="FJ215" s="138">
        <v>504</v>
      </c>
      <c r="FK215" s="138">
        <v>606</v>
      </c>
      <c r="FL215" s="147">
        <v>1274</v>
      </c>
      <c r="FM215" s="147">
        <v>1322.6089499853758</v>
      </c>
      <c r="FO215" s="181">
        <f t="shared" si="9"/>
        <v>919.65</v>
      </c>
      <c r="FP215" s="179">
        <f t="shared" si="11"/>
        <v>135.3421633554084</v>
      </c>
      <c r="FR215" s="184"/>
      <c r="FV215" s="184">
        <v>841</v>
      </c>
      <c r="FW215" s="2">
        <f t="shared" si="10"/>
        <v>-841</v>
      </c>
    </row>
    <row r="216" spans="1:179" ht="12.75">
      <c r="A216" s="82">
        <v>636</v>
      </c>
      <c r="B216" s="80" t="s">
        <v>207</v>
      </c>
      <c r="C216" s="191">
        <v>8474</v>
      </c>
      <c r="D216" s="146"/>
      <c r="E216" s="150">
        <v>3.8823529411764706</v>
      </c>
      <c r="F216" s="150">
        <v>25.5</v>
      </c>
      <c r="G216" s="151">
        <v>-1136</v>
      </c>
      <c r="H216" s="152"/>
      <c r="I216" s="152"/>
      <c r="J216" s="152"/>
      <c r="K216" s="150">
        <v>67.9</v>
      </c>
      <c r="L216" s="151">
        <v>239</v>
      </c>
      <c r="M216" s="151">
        <v>13</v>
      </c>
      <c r="N216" s="154">
        <v>6289.001652112343</v>
      </c>
      <c r="O216" s="146">
        <v>20935</v>
      </c>
      <c r="P216" s="139">
        <v>10902</v>
      </c>
      <c r="Q216" s="139">
        <v>50951</v>
      </c>
      <c r="R216" s="139">
        <v>-40049</v>
      </c>
      <c r="S216" s="146">
        <v>22565</v>
      </c>
      <c r="T216" s="139">
        <v>19761</v>
      </c>
      <c r="U216" s="160"/>
      <c r="W216" s="138">
        <v>-106</v>
      </c>
      <c r="X216" s="138">
        <v>117</v>
      </c>
      <c r="Y216" s="139">
        <v>2288</v>
      </c>
      <c r="Z216" s="138">
        <v>1848</v>
      </c>
      <c r="AB216" s="139"/>
      <c r="AC216" s="139">
        <v>440</v>
      </c>
      <c r="AD216" s="138">
        <v>61</v>
      </c>
      <c r="AG216" s="139">
        <v>501</v>
      </c>
      <c r="AH216" s="139">
        <v>3996</v>
      </c>
      <c r="AI216" s="139">
        <v>1829</v>
      </c>
      <c r="AJ216" s="176"/>
      <c r="AK216" s="138">
        <v>-512</v>
      </c>
      <c r="AL216" s="151">
        <v>-475</v>
      </c>
      <c r="AM216" s="151">
        <v>-1198</v>
      </c>
      <c r="AN216" s="146">
        <v>22565</v>
      </c>
      <c r="AO216" s="139">
        <v>19912</v>
      </c>
      <c r="AP216" s="139">
        <v>1568</v>
      </c>
      <c r="AQ216" s="139">
        <v>1085</v>
      </c>
      <c r="AR216" s="114">
        <v>19.5</v>
      </c>
      <c r="AS216" s="152"/>
      <c r="AT216" s="138">
        <v>152</v>
      </c>
      <c r="AU216" s="191">
        <v>8569</v>
      </c>
      <c r="AV216" s="146"/>
      <c r="AW216" s="150">
        <v>0.1896348645465253</v>
      </c>
      <c r="AX216" s="150">
        <v>26.9</v>
      </c>
      <c r="AY216" s="151">
        <v>-1384</v>
      </c>
      <c r="AZ216" s="152"/>
      <c r="BA216" s="152"/>
      <c r="BB216" s="152"/>
      <c r="BC216" s="150">
        <v>65.1</v>
      </c>
      <c r="BD216" s="151">
        <v>137</v>
      </c>
      <c r="BE216" s="151">
        <v>7</v>
      </c>
      <c r="BF216" s="154">
        <v>6747.111681643132</v>
      </c>
      <c r="BG216" s="146">
        <v>21827</v>
      </c>
      <c r="BH216" s="139">
        <v>10065</v>
      </c>
      <c r="BI216" s="139">
        <v>53611</v>
      </c>
      <c r="BJ216" s="139">
        <v>-43546</v>
      </c>
      <c r="BK216" s="146">
        <v>22891</v>
      </c>
      <c r="BL216" s="146">
        <v>20717</v>
      </c>
      <c r="BM216" s="160"/>
      <c r="BO216" s="138">
        <v>-145</v>
      </c>
      <c r="BP216" s="138">
        <v>94</v>
      </c>
      <c r="BQ216" s="139">
        <v>11</v>
      </c>
      <c r="BR216" s="138">
        <v>1969</v>
      </c>
      <c r="BT216" s="139"/>
      <c r="BU216" s="139">
        <v>-1958</v>
      </c>
      <c r="BV216" s="138">
        <v>-63</v>
      </c>
      <c r="BW216" s="138">
        <v>192</v>
      </c>
      <c r="BY216" s="138">
        <v>-1829</v>
      </c>
      <c r="BZ216" s="139">
        <v>2167</v>
      </c>
      <c r="CA216" s="139">
        <v>-223</v>
      </c>
      <c r="CB216" s="176"/>
      <c r="CC216" s="138">
        <v>512</v>
      </c>
      <c r="CD216" s="151">
        <v>-699</v>
      </c>
      <c r="CE216" s="151">
        <v>-2297</v>
      </c>
      <c r="CF216" s="138">
        <v>22891</v>
      </c>
      <c r="CG216" s="139">
        <v>20679</v>
      </c>
      <c r="CH216" s="139">
        <v>1027</v>
      </c>
      <c r="CI216" s="139">
        <v>1185</v>
      </c>
      <c r="CJ216" s="114">
        <v>20</v>
      </c>
      <c r="CK216" s="152"/>
      <c r="CL216" s="138">
        <v>239</v>
      </c>
      <c r="CM216" s="190">
        <v>8590</v>
      </c>
      <c r="CN216" s="146"/>
      <c r="CO216" s="150">
        <v>1.399770904925544</v>
      </c>
      <c r="CP216" s="150">
        <v>25</v>
      </c>
      <c r="CQ216" s="151">
        <v>-1467.2875436554134</v>
      </c>
      <c r="CR216" s="152"/>
      <c r="CS216" s="152"/>
      <c r="CT216" s="152"/>
      <c r="CU216" s="150">
        <v>64.70843792237883</v>
      </c>
      <c r="CV216" s="151">
        <v>11.059371362048894</v>
      </c>
      <c r="CW216" s="151">
        <v>0.5847090366423283</v>
      </c>
      <c r="CX216" s="154">
        <v>6903.72526193248</v>
      </c>
      <c r="CY216" s="146">
        <v>22035</v>
      </c>
      <c r="CZ216" s="139">
        <v>10305</v>
      </c>
      <c r="DA216" s="139">
        <v>55558</v>
      </c>
      <c r="DB216" s="139">
        <v>-45253</v>
      </c>
      <c r="DC216" s="146">
        <v>25081</v>
      </c>
      <c r="DD216" s="146">
        <v>21350</v>
      </c>
      <c r="DE216" s="160"/>
      <c r="DG216" s="138">
        <v>-98</v>
      </c>
      <c r="DH216" s="138">
        <v>35</v>
      </c>
      <c r="DI216" s="139">
        <v>1115</v>
      </c>
      <c r="DJ216" s="138">
        <v>2020</v>
      </c>
      <c r="DL216" s="139"/>
      <c r="DM216" s="139">
        <v>-905</v>
      </c>
      <c r="DN216" s="138">
        <v>111</v>
      </c>
      <c r="DQ216" s="138">
        <v>-794</v>
      </c>
      <c r="DR216" s="139">
        <v>1374</v>
      </c>
      <c r="DS216" s="139">
        <v>1338</v>
      </c>
      <c r="DT216" s="176"/>
      <c r="DU216" s="138">
        <v>-100</v>
      </c>
      <c r="DV216" s="151">
        <v>-767</v>
      </c>
      <c r="DW216" s="138">
        <v>-997</v>
      </c>
      <c r="DX216" s="138">
        <v>25081</v>
      </c>
      <c r="DY216" s="146">
        <v>22818</v>
      </c>
      <c r="DZ216" s="196">
        <v>1001</v>
      </c>
      <c r="EA216" s="146">
        <v>1262</v>
      </c>
      <c r="EB216" s="114">
        <v>20</v>
      </c>
      <c r="EC216" s="152"/>
      <c r="ED216" s="138">
        <v>234</v>
      </c>
      <c r="EE216" s="138">
        <v>23700</v>
      </c>
      <c r="EF216" s="138">
        <v>25173</v>
      </c>
      <c r="EG216" s="138">
        <v>26484</v>
      </c>
      <c r="EH216" s="138"/>
      <c r="EI216" s="138"/>
      <c r="EJ216" s="138"/>
      <c r="EK216" s="3">
        <v>-5041</v>
      </c>
      <c r="EL216" s="138">
        <v>830</v>
      </c>
      <c r="EM216" s="138">
        <v>1184</v>
      </c>
      <c r="EN216" s="3">
        <v>-3335</v>
      </c>
      <c r="EO216" s="138">
        <v>614</v>
      </c>
      <c r="EP216" s="138">
        <v>647</v>
      </c>
      <c r="EQ216" s="3">
        <v>-2852</v>
      </c>
      <c r="ER216" s="138">
        <v>10</v>
      </c>
      <c r="ES216" s="138">
        <v>507</v>
      </c>
      <c r="ET216" s="163">
        <v>1744</v>
      </c>
      <c r="EU216" s="163"/>
      <c r="EV216" s="138">
        <v>830</v>
      </c>
      <c r="EW216" s="138"/>
      <c r="EX216" s="138"/>
      <c r="EY216" s="138">
        <v>150</v>
      </c>
      <c r="EZ216" s="138">
        <v>7761</v>
      </c>
      <c r="FA216" s="138">
        <v>7056</v>
      </c>
      <c r="FB216" s="138">
        <v>705</v>
      </c>
      <c r="FC216" s="138">
        <v>1032</v>
      </c>
      <c r="FD216" s="138">
        <v>7891</v>
      </c>
      <c r="FE216" s="138">
        <v>7187</v>
      </c>
      <c r="FF216" s="138">
        <v>704</v>
      </c>
      <c r="FG216" s="138">
        <v>1010</v>
      </c>
      <c r="FH216" s="138">
        <v>7273</v>
      </c>
      <c r="FI216" s="138">
        <v>6457</v>
      </c>
      <c r="FJ216" s="138">
        <v>816</v>
      </c>
      <c r="FK216" s="138">
        <v>986</v>
      </c>
      <c r="FL216" s="147">
        <v>1910</v>
      </c>
      <c r="FM216" s="147">
        <v>2039.094410082857</v>
      </c>
      <c r="FO216" s="181">
        <f t="shared" si="9"/>
        <v>1140.9</v>
      </c>
      <c r="FP216" s="179">
        <f t="shared" si="11"/>
        <v>132.81722933643772</v>
      </c>
      <c r="FR216" s="184"/>
      <c r="FV216" s="184">
        <v>475</v>
      </c>
      <c r="FW216" s="2">
        <f t="shared" si="10"/>
        <v>-475</v>
      </c>
    </row>
    <row r="217" spans="1:179" ht="12.75">
      <c r="A217" s="82">
        <v>678</v>
      </c>
      <c r="B217" s="80" t="s">
        <v>209</v>
      </c>
      <c r="C217" s="191">
        <v>22593</v>
      </c>
      <c r="D217" s="146"/>
      <c r="E217" s="150">
        <v>0.35170432284184405</v>
      </c>
      <c r="F217" s="150">
        <v>92.9</v>
      </c>
      <c r="G217" s="151">
        <v>-3845</v>
      </c>
      <c r="H217" s="152"/>
      <c r="I217" s="152"/>
      <c r="J217" s="152"/>
      <c r="K217" s="150">
        <v>35.8</v>
      </c>
      <c r="L217" s="151">
        <v>1285</v>
      </c>
      <c r="M217" s="151">
        <v>70</v>
      </c>
      <c r="N217" s="154">
        <v>6683.13194352233</v>
      </c>
      <c r="O217" s="146">
        <v>38948</v>
      </c>
      <c r="P217" s="139">
        <v>19127</v>
      </c>
      <c r="Q217" s="139">
        <v>124687</v>
      </c>
      <c r="R217" s="139">
        <v>-105560</v>
      </c>
      <c r="S217" s="146">
        <v>85293</v>
      </c>
      <c r="T217" s="139">
        <v>26213</v>
      </c>
      <c r="U217" s="160"/>
      <c r="W217" s="138">
        <v>-1765</v>
      </c>
      <c r="X217" s="138">
        <v>-937</v>
      </c>
      <c r="Y217" s="139">
        <v>3244</v>
      </c>
      <c r="Z217" s="138">
        <v>5197</v>
      </c>
      <c r="AA217" s="139"/>
      <c r="AB217" s="139"/>
      <c r="AC217" s="139">
        <v>-1953</v>
      </c>
      <c r="AD217" s="139">
        <v>101</v>
      </c>
      <c r="AG217" s="139">
        <v>-1851</v>
      </c>
      <c r="AH217" s="139">
        <v>8974</v>
      </c>
      <c r="AI217" s="139">
        <v>2215</v>
      </c>
      <c r="AJ217" s="176"/>
      <c r="AK217" s="138">
        <v>1315</v>
      </c>
      <c r="AL217" s="151">
        <v>-13172</v>
      </c>
      <c r="AM217" s="151">
        <v>-4018</v>
      </c>
      <c r="AN217" s="146">
        <v>85293</v>
      </c>
      <c r="AO217" s="139">
        <v>68645</v>
      </c>
      <c r="AP217" s="139">
        <v>13402</v>
      </c>
      <c r="AQ217" s="139">
        <v>3246</v>
      </c>
      <c r="AR217" s="114">
        <v>20</v>
      </c>
      <c r="AS217" s="152"/>
      <c r="AT217" s="138">
        <v>238</v>
      </c>
      <c r="AU217" s="191">
        <v>22640</v>
      </c>
      <c r="AV217" s="146"/>
      <c r="AW217" s="150">
        <v>-0.32827350427350427</v>
      </c>
      <c r="AX217" s="150">
        <v>111.7</v>
      </c>
      <c r="AY217" s="151">
        <v>-4499</v>
      </c>
      <c r="AZ217" s="152"/>
      <c r="BA217" s="152"/>
      <c r="BB217" s="152"/>
      <c r="BC217" s="150">
        <v>29</v>
      </c>
      <c r="BD217" s="151">
        <v>1383</v>
      </c>
      <c r="BE217" s="151">
        <v>73</v>
      </c>
      <c r="BF217" s="154">
        <v>6872.747349823322</v>
      </c>
      <c r="BG217" s="146">
        <v>40519</v>
      </c>
      <c r="BH217" s="139">
        <v>21257</v>
      </c>
      <c r="BI217" s="139">
        <v>131061</v>
      </c>
      <c r="BJ217" s="139">
        <v>-109804</v>
      </c>
      <c r="BK217" s="146">
        <v>74284</v>
      </c>
      <c r="BL217" s="146">
        <v>28377</v>
      </c>
      <c r="BM217" s="160"/>
      <c r="BO217" s="138">
        <v>-1149</v>
      </c>
      <c r="BP217" s="138">
        <v>1976</v>
      </c>
      <c r="BQ217" s="139">
        <v>-6316</v>
      </c>
      <c r="BR217" s="138">
        <v>5303</v>
      </c>
      <c r="BS217" s="139"/>
      <c r="BT217" s="139"/>
      <c r="BU217" s="139">
        <v>-11619</v>
      </c>
      <c r="BV217" s="139">
        <v>96</v>
      </c>
      <c r="BY217" s="138">
        <v>-11523</v>
      </c>
      <c r="BZ217" s="139">
        <v>-2465</v>
      </c>
      <c r="CA217" s="139">
        <v>-8221</v>
      </c>
      <c r="CB217" s="176"/>
      <c r="CC217" s="138">
        <v>366</v>
      </c>
      <c r="CD217" s="151">
        <v>-13110</v>
      </c>
      <c r="CE217" s="151">
        <v>-15215</v>
      </c>
      <c r="CF217" s="138">
        <v>74284</v>
      </c>
      <c r="CG217" s="139">
        <v>68489</v>
      </c>
      <c r="CH217" s="139">
        <v>2353</v>
      </c>
      <c r="CI217" s="139">
        <v>3442</v>
      </c>
      <c r="CJ217" s="114">
        <v>20</v>
      </c>
      <c r="CK217" s="152"/>
      <c r="CL217" s="138">
        <v>313</v>
      </c>
      <c r="CM217" s="190">
        <v>25507</v>
      </c>
      <c r="CN217" s="146"/>
      <c r="CO217" s="150">
        <v>0.2598306936100492</v>
      </c>
      <c r="CP217" s="150">
        <v>101.96108939326163</v>
      </c>
      <c r="CQ217" s="151">
        <v>-4538.283608421219</v>
      </c>
      <c r="CR217" s="152"/>
      <c r="CS217" s="152"/>
      <c r="CT217" s="152"/>
      <c r="CU217" s="150">
        <v>26.11317861350588</v>
      </c>
      <c r="CV217" s="151">
        <v>1385.0315599639316</v>
      </c>
      <c r="CW217" s="151">
        <v>73.70559420173879</v>
      </c>
      <c r="CX217" s="154">
        <v>6858.862273101502</v>
      </c>
      <c r="CY217" s="146">
        <v>46492</v>
      </c>
      <c r="CZ217" s="139">
        <v>25339</v>
      </c>
      <c r="DA217" s="139">
        <v>152056</v>
      </c>
      <c r="DB217" s="139">
        <v>-126717</v>
      </c>
      <c r="DC217" s="146">
        <v>89607</v>
      </c>
      <c r="DD217" s="146">
        <v>39636</v>
      </c>
      <c r="DE217" s="160"/>
      <c r="DG217" s="138">
        <v>-673</v>
      </c>
      <c r="DH217" s="138">
        <v>946</v>
      </c>
      <c r="DI217" s="139">
        <v>2799</v>
      </c>
      <c r="DJ217" s="138">
        <v>6175</v>
      </c>
      <c r="DK217" s="139"/>
      <c r="DL217" s="139"/>
      <c r="DM217" s="139">
        <v>-3376</v>
      </c>
      <c r="DN217" s="139">
        <v>94</v>
      </c>
      <c r="DQ217" s="138">
        <v>-3282</v>
      </c>
      <c r="DR217" s="139">
        <v>-9483</v>
      </c>
      <c r="DS217" s="139">
        <v>1248</v>
      </c>
      <c r="DT217" s="176"/>
      <c r="DU217" s="138">
        <v>-226</v>
      </c>
      <c r="DV217" s="151">
        <v>-13641</v>
      </c>
      <c r="DW217" s="138">
        <v>-3539</v>
      </c>
      <c r="DX217" s="138">
        <v>89607</v>
      </c>
      <c r="DY217" s="146">
        <v>83462</v>
      </c>
      <c r="DZ217" s="196">
        <v>2212</v>
      </c>
      <c r="EA217" s="146">
        <v>3933</v>
      </c>
      <c r="EB217" s="114">
        <v>21</v>
      </c>
      <c r="EC217" s="152"/>
      <c r="ED217" s="138">
        <v>241</v>
      </c>
      <c r="EE217" s="138">
        <v>74062</v>
      </c>
      <c r="EF217" s="138">
        <v>77343</v>
      </c>
      <c r="EG217" s="138">
        <v>90760</v>
      </c>
      <c r="EH217" s="138"/>
      <c r="EI217" s="138">
        <v>1300</v>
      </c>
      <c r="EJ217" s="138"/>
      <c r="EK217" s="3">
        <v>-8967</v>
      </c>
      <c r="EL217" s="138">
        <v>1796</v>
      </c>
      <c r="EM217" s="138">
        <v>938</v>
      </c>
      <c r="EN217" s="3">
        <v>-9009</v>
      </c>
      <c r="EO217" s="138">
        <v>753</v>
      </c>
      <c r="EP217" s="138">
        <v>1261</v>
      </c>
      <c r="EQ217" s="3">
        <v>-7130</v>
      </c>
      <c r="ER217" s="138">
        <v>701</v>
      </c>
      <c r="ES217" s="138">
        <v>1642</v>
      </c>
      <c r="ET217" s="163">
        <v>10000</v>
      </c>
      <c r="EU217" s="163">
        <v>7000</v>
      </c>
      <c r="EV217" s="138">
        <v>21972</v>
      </c>
      <c r="EW217" s="138">
        <v>6800</v>
      </c>
      <c r="EX217" s="138"/>
      <c r="EY217" s="138">
        <v>17500</v>
      </c>
      <c r="EZ217" s="138">
        <v>109294</v>
      </c>
      <c r="FA217" s="138">
        <v>63188</v>
      </c>
      <c r="FB217" s="138">
        <v>46106</v>
      </c>
      <c r="FC217" s="138">
        <v>10336</v>
      </c>
      <c r="FD217" s="138">
        <v>124956</v>
      </c>
      <c r="FE217" s="138">
        <v>72790</v>
      </c>
      <c r="FF217" s="138">
        <v>52166</v>
      </c>
      <c r="FG217" s="138">
        <v>10170</v>
      </c>
      <c r="FH217" s="138">
        <v>141411</v>
      </c>
      <c r="FI217" s="138">
        <v>63904</v>
      </c>
      <c r="FJ217" s="138">
        <v>77507</v>
      </c>
      <c r="FK217" s="138">
        <v>10149</v>
      </c>
      <c r="FL217" s="147">
        <v>9092</v>
      </c>
      <c r="FM217" s="147">
        <v>9885.159010600706</v>
      </c>
      <c r="FO217" s="181">
        <f t="shared" si="9"/>
        <v>3974.3809523809523</v>
      </c>
      <c r="FP217" s="179">
        <f t="shared" si="11"/>
        <v>155.8153037354825</v>
      </c>
      <c r="FR217" s="184"/>
      <c r="FV217" s="184">
        <v>13172</v>
      </c>
      <c r="FW217" s="2">
        <f t="shared" si="10"/>
        <v>-13172</v>
      </c>
    </row>
    <row r="218" spans="1:179" ht="12.75">
      <c r="A218" s="183">
        <v>710</v>
      </c>
      <c r="B218" s="86" t="s">
        <v>385</v>
      </c>
      <c r="C218" s="191">
        <v>28959</v>
      </c>
      <c r="D218" s="146"/>
      <c r="E218" s="150">
        <v>0.8929372937293729</v>
      </c>
      <c r="F218" s="150">
        <v>57.1</v>
      </c>
      <c r="G218" s="151">
        <v>-3434</v>
      </c>
      <c r="H218" s="152"/>
      <c r="I218" s="152"/>
      <c r="J218" s="152"/>
      <c r="K218" s="150">
        <v>33.2</v>
      </c>
      <c r="L218" s="151">
        <v>78</v>
      </c>
      <c r="M218" s="151">
        <v>4</v>
      </c>
      <c r="N218" s="154">
        <v>6559.135329258607</v>
      </c>
      <c r="O218" s="146">
        <v>78373</v>
      </c>
      <c r="P218" s="139">
        <v>43151</v>
      </c>
      <c r="Q218" s="139">
        <v>186589</v>
      </c>
      <c r="R218" s="139">
        <v>-143438</v>
      </c>
      <c r="S218" s="146">
        <v>103282</v>
      </c>
      <c r="T218" s="139">
        <v>48926</v>
      </c>
      <c r="U218" s="160"/>
      <c r="W218" s="138">
        <v>-2526</v>
      </c>
      <c r="X218" s="138">
        <v>440</v>
      </c>
      <c r="Y218" s="139">
        <v>6684</v>
      </c>
      <c r="Z218" s="138">
        <v>6669</v>
      </c>
      <c r="AC218" s="139">
        <v>15</v>
      </c>
      <c r="AG218" s="139">
        <v>15</v>
      </c>
      <c r="AH218" s="139">
        <v>-17839</v>
      </c>
      <c r="AI218" s="139">
        <v>3638</v>
      </c>
      <c r="AJ218" s="176"/>
      <c r="AK218" s="139">
        <v>-726</v>
      </c>
      <c r="AL218" s="151">
        <v>-7495</v>
      </c>
      <c r="AM218" s="151">
        <v>-7268</v>
      </c>
      <c r="AN218" s="146">
        <v>103282</v>
      </c>
      <c r="AO218" s="139">
        <v>90597</v>
      </c>
      <c r="AP218" s="139">
        <v>4430</v>
      </c>
      <c r="AQ218" s="139">
        <v>8255</v>
      </c>
      <c r="AR218" s="114">
        <v>21</v>
      </c>
      <c r="AS218" s="152"/>
      <c r="AT218" s="138">
        <v>179</v>
      </c>
      <c r="AU218" s="191">
        <v>28829</v>
      </c>
      <c r="AV218" s="146"/>
      <c r="AW218" s="150">
        <v>0.19526451357241925</v>
      </c>
      <c r="AX218" s="150">
        <v>65.2</v>
      </c>
      <c r="AY218" s="151">
        <v>-3989</v>
      </c>
      <c r="AZ218" s="152"/>
      <c r="BA218" s="152"/>
      <c r="BB218" s="152"/>
      <c r="BC218" s="150">
        <v>27</v>
      </c>
      <c r="BD218" s="151">
        <v>101</v>
      </c>
      <c r="BE218" s="151">
        <v>5</v>
      </c>
      <c r="BF218" s="154">
        <v>7798.917756425821</v>
      </c>
      <c r="BG218" s="146">
        <v>86664</v>
      </c>
      <c r="BH218" s="139">
        <v>43690</v>
      </c>
      <c r="BI218" s="139">
        <v>198705</v>
      </c>
      <c r="BJ218" s="139">
        <v>-155015</v>
      </c>
      <c r="BK218" s="146">
        <v>103633</v>
      </c>
      <c r="BL218" s="146">
        <v>52929</v>
      </c>
      <c r="BM218" s="160"/>
      <c r="BO218" s="138">
        <v>-2326</v>
      </c>
      <c r="BP218" s="138">
        <v>393</v>
      </c>
      <c r="BQ218" s="139">
        <v>-386</v>
      </c>
      <c r="BR218" s="138">
        <v>6930</v>
      </c>
      <c r="BU218" s="139">
        <v>-7316</v>
      </c>
      <c r="BY218" s="138">
        <v>-7316</v>
      </c>
      <c r="BZ218" s="139">
        <v>-25154</v>
      </c>
      <c r="CA218" s="139">
        <v>-2998</v>
      </c>
      <c r="CB218" s="176"/>
      <c r="CC218" s="139">
        <v>-2864</v>
      </c>
      <c r="CD218" s="151">
        <v>-7737</v>
      </c>
      <c r="CE218" s="151">
        <v>-15502</v>
      </c>
      <c r="CF218" s="138">
        <v>103633</v>
      </c>
      <c r="CG218" s="139">
        <v>91878</v>
      </c>
      <c r="CH218" s="139">
        <v>3013</v>
      </c>
      <c r="CI218" s="139">
        <v>8742</v>
      </c>
      <c r="CJ218" s="114">
        <v>21</v>
      </c>
      <c r="CK218" s="152"/>
      <c r="CL218" s="138">
        <v>248</v>
      </c>
      <c r="CM218" s="190">
        <v>28695</v>
      </c>
      <c r="CN218" s="146"/>
      <c r="CO218" s="150">
        <v>0.713501844022668</v>
      </c>
      <c r="CP218" s="150">
        <v>68.28487155275633</v>
      </c>
      <c r="CQ218" s="151">
        <v>-3143.5441714584426</v>
      </c>
      <c r="CR218" s="152"/>
      <c r="CS218" s="152"/>
      <c r="CT218" s="152"/>
      <c r="CU218" s="150">
        <v>31.59137225806141</v>
      </c>
      <c r="CV218" s="151">
        <v>161.84004181913224</v>
      </c>
      <c r="CW218" s="151">
        <v>7.111314350921501</v>
      </c>
      <c r="CX218" s="154">
        <v>8306.70848579892</v>
      </c>
      <c r="CY218" s="146">
        <v>86363</v>
      </c>
      <c r="CZ218" s="139">
        <v>42517</v>
      </c>
      <c r="DA218" s="139">
        <v>198080</v>
      </c>
      <c r="DB218" s="139">
        <v>-155563</v>
      </c>
      <c r="DC218" s="146">
        <v>108635</v>
      </c>
      <c r="DD218" s="146">
        <v>54377</v>
      </c>
      <c r="DE218" s="160"/>
      <c r="DG218" s="138">
        <v>-2305</v>
      </c>
      <c r="DH218" s="138">
        <v>402</v>
      </c>
      <c r="DI218" s="139">
        <v>5546</v>
      </c>
      <c r="DJ218" s="138">
        <v>7486</v>
      </c>
      <c r="DK218" s="138">
        <v>19088</v>
      </c>
      <c r="DL218" s="138">
        <v>533</v>
      </c>
      <c r="DM218" s="139">
        <v>16615</v>
      </c>
      <c r="DQ218" s="138">
        <v>16615</v>
      </c>
      <c r="DR218" s="139">
        <v>-8539</v>
      </c>
      <c r="DS218" s="139">
        <v>4271</v>
      </c>
      <c r="DT218" s="176"/>
      <c r="DU218" s="139">
        <v>-32896</v>
      </c>
      <c r="DV218" s="151">
        <v>-8731</v>
      </c>
      <c r="DW218" s="138">
        <v>24494</v>
      </c>
      <c r="DX218" s="138">
        <v>108635</v>
      </c>
      <c r="DY218" s="146">
        <v>96634</v>
      </c>
      <c r="DZ218" s="196">
        <v>2948</v>
      </c>
      <c r="EA218" s="146">
        <v>9053</v>
      </c>
      <c r="EB218" s="114">
        <v>21</v>
      </c>
      <c r="EC218" s="152"/>
      <c r="ED218" s="138">
        <v>204</v>
      </c>
      <c r="EE218" s="138">
        <v>78715</v>
      </c>
      <c r="EF218" s="138">
        <v>79559</v>
      </c>
      <c r="EG218" s="138">
        <v>80470</v>
      </c>
      <c r="EH218" s="138"/>
      <c r="EI218" s="138">
        <v>1400</v>
      </c>
      <c r="EJ218" s="138">
        <v>1500</v>
      </c>
      <c r="EK218" s="3">
        <v>-13515</v>
      </c>
      <c r="EL218" s="138">
        <v>607</v>
      </c>
      <c r="EM218" s="138">
        <v>2002</v>
      </c>
      <c r="EN218" s="3">
        <v>-16098</v>
      </c>
      <c r="EO218" s="138">
        <v>201</v>
      </c>
      <c r="EP218" s="138">
        <v>3393</v>
      </c>
      <c r="EQ218" s="3">
        <v>-28741</v>
      </c>
      <c r="ER218" s="138">
        <v>1722</v>
      </c>
      <c r="ES218" s="138">
        <v>47242</v>
      </c>
      <c r="ET218" s="163">
        <v>1000</v>
      </c>
      <c r="EU218" s="163">
        <v>8299</v>
      </c>
      <c r="EV218" s="138">
        <v>11000</v>
      </c>
      <c r="EW218" s="138">
        <v>13774</v>
      </c>
      <c r="EX218" s="138">
        <v>20401</v>
      </c>
      <c r="EY218" s="138">
        <v>1420</v>
      </c>
      <c r="EZ218" s="138">
        <v>84025</v>
      </c>
      <c r="FA218" s="138">
        <v>53409</v>
      </c>
      <c r="FB218" s="138">
        <v>30616</v>
      </c>
      <c r="FC218" s="138">
        <v>2046</v>
      </c>
      <c r="FD218" s="138">
        <v>101063</v>
      </c>
      <c r="FE218" s="138">
        <v>55678</v>
      </c>
      <c r="FF218" s="138">
        <v>45385</v>
      </c>
      <c r="FG218" s="138">
        <v>2039</v>
      </c>
      <c r="FH218" s="138">
        <v>114152</v>
      </c>
      <c r="FI218" s="138">
        <v>66162</v>
      </c>
      <c r="FJ218" s="138">
        <v>47990</v>
      </c>
      <c r="FK218" s="138">
        <v>2075</v>
      </c>
      <c r="FL218" s="147">
        <v>3922</v>
      </c>
      <c r="FM218" s="147">
        <v>4602.899857782094</v>
      </c>
      <c r="FO218" s="181">
        <f t="shared" si="9"/>
        <v>4601.619047619048</v>
      </c>
      <c r="FP218" s="179">
        <f t="shared" si="11"/>
        <v>160.3630962752761</v>
      </c>
      <c r="FR218" s="184"/>
      <c r="FV218" s="184">
        <v>7495</v>
      </c>
      <c r="FW218" s="2">
        <f t="shared" si="10"/>
        <v>-7495</v>
      </c>
    </row>
    <row r="219" spans="1:179" ht="12.75">
      <c r="A219" s="82">
        <v>680</v>
      </c>
      <c r="B219" s="80" t="s">
        <v>210</v>
      </c>
      <c r="C219" s="191">
        <v>24559</v>
      </c>
      <c r="D219" s="146"/>
      <c r="E219" s="150">
        <v>2.62559965111208</v>
      </c>
      <c r="F219" s="150">
        <v>39.6</v>
      </c>
      <c r="G219" s="151">
        <v>-2022</v>
      </c>
      <c r="H219" s="152"/>
      <c r="I219" s="152"/>
      <c r="J219" s="152"/>
      <c r="K219" s="150">
        <v>61.5</v>
      </c>
      <c r="L219" s="151">
        <v>163</v>
      </c>
      <c r="M219" s="151">
        <v>9</v>
      </c>
      <c r="N219" s="154">
        <v>6963.638584632925</v>
      </c>
      <c r="O219" s="146">
        <v>62592</v>
      </c>
      <c r="P219" s="139">
        <v>51068</v>
      </c>
      <c r="Q219" s="139">
        <v>148951</v>
      </c>
      <c r="R219" s="139">
        <v>-97883</v>
      </c>
      <c r="S219" s="146">
        <v>82742</v>
      </c>
      <c r="T219" s="139">
        <v>24569</v>
      </c>
      <c r="U219" s="160"/>
      <c r="W219" s="138">
        <v>-640</v>
      </c>
      <c r="X219" s="138">
        <v>646</v>
      </c>
      <c r="Y219" s="139">
        <v>9434</v>
      </c>
      <c r="Z219" s="138">
        <v>9139</v>
      </c>
      <c r="AA219" s="139"/>
      <c r="AB219" s="139"/>
      <c r="AC219" s="139">
        <v>295</v>
      </c>
      <c r="AD219" s="139">
        <v>14</v>
      </c>
      <c r="AE219" s="139"/>
      <c r="AG219" s="139">
        <v>309</v>
      </c>
      <c r="AH219" s="139">
        <v>11063</v>
      </c>
      <c r="AI219" s="139">
        <v>6986</v>
      </c>
      <c r="AJ219" s="176"/>
      <c r="AK219" s="139">
        <v>-1957</v>
      </c>
      <c r="AL219" s="151">
        <v>-1979</v>
      </c>
      <c r="AM219" s="151">
        <v>1090</v>
      </c>
      <c r="AN219" s="146">
        <v>82742</v>
      </c>
      <c r="AO219" s="139">
        <v>70347</v>
      </c>
      <c r="AP219" s="139">
        <v>6664</v>
      </c>
      <c r="AQ219" s="139">
        <v>5731</v>
      </c>
      <c r="AR219" s="114">
        <v>17.5</v>
      </c>
      <c r="AS219" s="152"/>
      <c r="AT219" s="138">
        <v>81</v>
      </c>
      <c r="AU219" s="191">
        <v>24562</v>
      </c>
      <c r="AV219" s="146"/>
      <c r="AW219" s="150">
        <v>-1.2630173564753004</v>
      </c>
      <c r="AX219" s="150">
        <v>54.1</v>
      </c>
      <c r="AY219" s="151">
        <v>-2802</v>
      </c>
      <c r="AZ219" s="152"/>
      <c r="BA219" s="152"/>
      <c r="BB219" s="152"/>
      <c r="BC219" s="150">
        <v>52.1</v>
      </c>
      <c r="BD219" s="151">
        <v>230</v>
      </c>
      <c r="BE219" s="151">
        <v>12</v>
      </c>
      <c r="BF219" s="154">
        <v>7261.582932985913</v>
      </c>
      <c r="BG219" s="146">
        <v>68397</v>
      </c>
      <c r="BH219" s="139">
        <v>45166</v>
      </c>
      <c r="BI219" s="139">
        <v>156987</v>
      </c>
      <c r="BJ219" s="139">
        <v>-111821</v>
      </c>
      <c r="BK219" s="146">
        <v>82645</v>
      </c>
      <c r="BL219" s="146">
        <v>26268</v>
      </c>
      <c r="BM219" s="160"/>
      <c r="BO219" s="138">
        <v>-437</v>
      </c>
      <c r="BP219" s="138">
        <v>45</v>
      </c>
      <c r="BQ219" s="139">
        <v>-3300</v>
      </c>
      <c r="BR219" s="138">
        <v>9282</v>
      </c>
      <c r="BS219" s="139"/>
      <c r="BT219" s="139"/>
      <c r="BU219" s="139">
        <v>-12582</v>
      </c>
      <c r="BV219" s="139">
        <v>14</v>
      </c>
      <c r="BW219" s="139"/>
      <c r="BY219" s="138">
        <v>-12568</v>
      </c>
      <c r="BZ219" s="139">
        <v>-1505</v>
      </c>
      <c r="CA219" s="139">
        <v>-3793</v>
      </c>
      <c r="CB219" s="176"/>
      <c r="CC219" s="139">
        <v>150</v>
      </c>
      <c r="CD219" s="151">
        <v>-1785</v>
      </c>
      <c r="CE219" s="151">
        <v>-17690</v>
      </c>
      <c r="CF219" s="138">
        <v>82645</v>
      </c>
      <c r="CG219" s="139">
        <v>72204</v>
      </c>
      <c r="CH219" s="139">
        <v>4655</v>
      </c>
      <c r="CI219" s="139">
        <v>5786</v>
      </c>
      <c r="CJ219" s="114">
        <v>18</v>
      </c>
      <c r="CK219" s="152"/>
      <c r="CL219" s="138">
        <v>290</v>
      </c>
      <c r="CM219" s="190">
        <v>24565</v>
      </c>
      <c r="CN219" s="146"/>
      <c r="CO219" s="150">
        <v>3.79122468659595</v>
      </c>
      <c r="CP219" s="150">
        <v>53.005517025854296</v>
      </c>
      <c r="CQ219" s="151">
        <v>-2876.002442499491</v>
      </c>
      <c r="CR219" s="152"/>
      <c r="CS219" s="152"/>
      <c r="CT219" s="152"/>
      <c r="CU219" s="150">
        <v>50.22877839439163</v>
      </c>
      <c r="CV219" s="151">
        <v>367.02625686952985</v>
      </c>
      <c r="CW219" s="151">
        <v>19.343659074210137</v>
      </c>
      <c r="CX219" s="154">
        <v>6925.5037655200495</v>
      </c>
      <c r="CY219" s="146">
        <v>66717</v>
      </c>
      <c r="CZ219" s="139">
        <v>47602</v>
      </c>
      <c r="DA219" s="139">
        <v>158424</v>
      </c>
      <c r="DB219" s="139">
        <v>-110822</v>
      </c>
      <c r="DC219" s="146">
        <v>91265</v>
      </c>
      <c r="DD219" s="146">
        <v>27527</v>
      </c>
      <c r="DE219" s="160"/>
      <c r="DG219" s="138">
        <v>-275</v>
      </c>
      <c r="DH219" s="138">
        <v>-245</v>
      </c>
      <c r="DI219" s="139">
        <v>7450</v>
      </c>
      <c r="DJ219" s="138">
        <v>9068</v>
      </c>
      <c r="DK219" s="139"/>
      <c r="DL219" s="139"/>
      <c r="DM219" s="139">
        <v>-1618</v>
      </c>
      <c r="DN219" s="139">
        <v>14</v>
      </c>
      <c r="DO219" s="139"/>
      <c r="DQ219" s="138">
        <v>-1604</v>
      </c>
      <c r="DR219" s="139">
        <v>-3109</v>
      </c>
      <c r="DS219" s="139">
        <v>5741</v>
      </c>
      <c r="DT219" s="176"/>
      <c r="DU219" s="139">
        <v>350</v>
      </c>
      <c r="DV219" s="151">
        <v>-1661</v>
      </c>
      <c r="DW219" s="138">
        <v>-1367</v>
      </c>
      <c r="DX219" s="138">
        <v>91265</v>
      </c>
      <c r="DY219" s="146">
        <v>80964</v>
      </c>
      <c r="DZ219" s="196">
        <v>4400</v>
      </c>
      <c r="EA219" s="146">
        <v>5901</v>
      </c>
      <c r="EB219" s="114">
        <v>18.5</v>
      </c>
      <c r="EC219" s="152"/>
      <c r="ED219" s="138">
        <v>142</v>
      </c>
      <c r="EE219" s="138">
        <v>66326</v>
      </c>
      <c r="EF219" s="138">
        <v>64883</v>
      </c>
      <c r="EG219" s="138">
        <v>67270</v>
      </c>
      <c r="EH219" s="138"/>
      <c r="EI219" s="138"/>
      <c r="EJ219" s="138"/>
      <c r="EK219" s="3">
        <v>-11141</v>
      </c>
      <c r="EL219" s="138">
        <v>909</v>
      </c>
      <c r="EM219" s="138">
        <v>4336</v>
      </c>
      <c r="EN219" s="3">
        <v>-16133</v>
      </c>
      <c r="EO219" s="138">
        <v>876</v>
      </c>
      <c r="EP219" s="138">
        <v>1360</v>
      </c>
      <c r="EQ219" s="3">
        <v>-9167</v>
      </c>
      <c r="ER219" s="138">
        <v>79</v>
      </c>
      <c r="ES219" s="138">
        <v>1980</v>
      </c>
      <c r="ET219" s="163">
        <v>15000</v>
      </c>
      <c r="EU219" s="163">
        <v>-12300</v>
      </c>
      <c r="EV219" s="138">
        <v>7000</v>
      </c>
      <c r="EW219" s="138">
        <v>12200</v>
      </c>
      <c r="EX219" s="138">
        <v>15000</v>
      </c>
      <c r="EY219" s="138">
        <v>-10300</v>
      </c>
      <c r="EZ219" s="138">
        <v>41771</v>
      </c>
      <c r="FA219" s="138">
        <v>29450</v>
      </c>
      <c r="FB219" s="138">
        <v>12321</v>
      </c>
      <c r="FC219" s="138">
        <v>94</v>
      </c>
      <c r="FD219" s="138">
        <v>59186</v>
      </c>
      <c r="FE219" s="138">
        <v>34662</v>
      </c>
      <c r="FF219" s="138">
        <v>24524</v>
      </c>
      <c r="FG219" s="138">
        <v>2794</v>
      </c>
      <c r="FH219" s="138">
        <v>62225</v>
      </c>
      <c r="FI219" s="138">
        <v>47997</v>
      </c>
      <c r="FJ219" s="138">
        <v>14228</v>
      </c>
      <c r="FK219" s="138">
        <v>2794</v>
      </c>
      <c r="FL219" s="147">
        <v>3337</v>
      </c>
      <c r="FM219" s="147">
        <v>4089.650679912059</v>
      </c>
      <c r="FO219" s="181">
        <f t="shared" si="9"/>
        <v>4376.4324324324325</v>
      </c>
      <c r="FP219" s="179">
        <f t="shared" si="11"/>
        <v>178.15723315418003</v>
      </c>
      <c r="FR219" s="184"/>
      <c r="FV219" s="184">
        <v>1979</v>
      </c>
      <c r="FW219" s="2">
        <f t="shared" si="10"/>
        <v>-1979</v>
      </c>
    </row>
    <row r="220" spans="1:179" ht="12.75">
      <c r="A220" s="82">
        <v>681</v>
      </c>
      <c r="B220" s="80" t="s">
        <v>211</v>
      </c>
      <c r="C220" s="191">
        <v>3949</v>
      </c>
      <c r="D220" s="146"/>
      <c r="E220" s="150">
        <v>0.25031367628607276</v>
      </c>
      <c r="F220" s="150">
        <v>29.1</v>
      </c>
      <c r="G220" s="151">
        <v>-1821</v>
      </c>
      <c r="H220" s="152"/>
      <c r="I220" s="152"/>
      <c r="J220" s="152"/>
      <c r="K220" s="150">
        <v>54.8</v>
      </c>
      <c r="L220" s="151">
        <v>266</v>
      </c>
      <c r="M220" s="151">
        <v>10</v>
      </c>
      <c r="N220" s="154">
        <v>12791.846036971385</v>
      </c>
      <c r="O220" s="146">
        <v>11744</v>
      </c>
      <c r="P220" s="139">
        <v>14815</v>
      </c>
      <c r="Q220" s="139">
        <v>37210</v>
      </c>
      <c r="R220" s="139">
        <v>-22395</v>
      </c>
      <c r="S220" s="146">
        <v>9981</v>
      </c>
      <c r="T220" s="139">
        <v>12085</v>
      </c>
      <c r="U220" s="160"/>
      <c r="W220" s="138">
        <v>-181</v>
      </c>
      <c r="X220" s="138">
        <v>251</v>
      </c>
      <c r="Y220" s="139">
        <v>-259</v>
      </c>
      <c r="Z220" s="138">
        <v>899</v>
      </c>
      <c r="AA220" s="139">
        <v>945</v>
      </c>
      <c r="AB220" s="139">
        <v>650</v>
      </c>
      <c r="AC220" s="139">
        <v>-863</v>
      </c>
      <c r="AD220" s="139"/>
      <c r="AF220" s="139"/>
      <c r="AG220" s="139">
        <v>-863</v>
      </c>
      <c r="AH220" s="139">
        <v>27</v>
      </c>
      <c r="AI220" s="139">
        <v>93</v>
      </c>
      <c r="AJ220" s="176"/>
      <c r="AK220" s="139">
        <v>-209</v>
      </c>
      <c r="AL220" s="151">
        <v>-936</v>
      </c>
      <c r="AM220" s="151">
        <v>-624</v>
      </c>
      <c r="AN220" s="146">
        <v>9981</v>
      </c>
      <c r="AO220" s="139">
        <v>8124</v>
      </c>
      <c r="AP220" s="139">
        <v>985</v>
      </c>
      <c r="AQ220" s="139">
        <v>872</v>
      </c>
      <c r="AR220" s="114">
        <v>19.5</v>
      </c>
      <c r="AS220" s="152"/>
      <c r="AT220" s="138">
        <v>302</v>
      </c>
      <c r="AU220" s="191">
        <v>3921</v>
      </c>
      <c r="AV220" s="146"/>
      <c r="AW220" s="150">
        <v>0.029310344827586206</v>
      </c>
      <c r="AX220" s="150">
        <v>29.3</v>
      </c>
      <c r="AY220" s="151">
        <v>-2189</v>
      </c>
      <c r="AZ220" s="152"/>
      <c r="BA220" s="152"/>
      <c r="BB220" s="152"/>
      <c r="BC220" s="150">
        <v>51.9</v>
      </c>
      <c r="BD220" s="151">
        <v>220</v>
      </c>
      <c r="BE220" s="151">
        <v>8</v>
      </c>
      <c r="BF220" s="154">
        <v>10525.376179546034</v>
      </c>
      <c r="BG220" s="146">
        <v>11936</v>
      </c>
      <c r="BH220" s="139">
        <v>15427</v>
      </c>
      <c r="BI220" s="139">
        <v>38878</v>
      </c>
      <c r="BJ220" s="139">
        <v>-23451</v>
      </c>
      <c r="BK220" s="146">
        <v>10392</v>
      </c>
      <c r="BL220" s="146">
        <v>12862</v>
      </c>
      <c r="BM220" s="160"/>
      <c r="BO220" s="138">
        <v>-189</v>
      </c>
      <c r="BP220" s="138">
        <v>209</v>
      </c>
      <c r="BQ220" s="139">
        <v>-177</v>
      </c>
      <c r="BR220" s="138">
        <v>907</v>
      </c>
      <c r="BS220" s="139"/>
      <c r="BT220" s="139"/>
      <c r="BU220" s="139">
        <v>-1084</v>
      </c>
      <c r="BV220" s="139"/>
      <c r="BX220" s="139"/>
      <c r="BY220" s="138">
        <v>-1084</v>
      </c>
      <c r="BZ220" s="139">
        <v>-1057</v>
      </c>
      <c r="CA220" s="139">
        <v>-182</v>
      </c>
      <c r="CB220" s="176"/>
      <c r="CC220" s="139">
        <v>621</v>
      </c>
      <c r="CD220" s="151">
        <v>-949</v>
      </c>
      <c r="CE220" s="151">
        <v>-1268</v>
      </c>
      <c r="CF220" s="138">
        <v>10392</v>
      </c>
      <c r="CG220" s="139">
        <v>8836</v>
      </c>
      <c r="CH220" s="139">
        <v>691</v>
      </c>
      <c r="CI220" s="139">
        <v>865</v>
      </c>
      <c r="CJ220" s="114">
        <v>20</v>
      </c>
      <c r="CK220" s="152"/>
      <c r="CL220" s="138">
        <v>267</v>
      </c>
      <c r="CM220" s="190">
        <v>3872</v>
      </c>
      <c r="CN220" s="146"/>
      <c r="CO220" s="150">
        <v>-0.14814814814814814</v>
      </c>
      <c r="CP220" s="150">
        <v>38.79715691634773</v>
      </c>
      <c r="CQ220" s="151">
        <v>-2808.1095041322315</v>
      </c>
      <c r="CR220" s="152"/>
      <c r="CS220" s="152"/>
      <c r="CT220" s="152"/>
      <c r="CU220" s="150">
        <v>44.10800521696218</v>
      </c>
      <c r="CV220" s="151">
        <v>386.3636363636364</v>
      </c>
      <c r="CW220" s="151">
        <v>13.544674306692464</v>
      </c>
      <c r="CX220" s="154">
        <v>10411.673553719009</v>
      </c>
      <c r="CY220" s="146">
        <v>13140</v>
      </c>
      <c r="CZ220" s="139">
        <v>12764</v>
      </c>
      <c r="DA220" s="139">
        <v>37110</v>
      </c>
      <c r="DB220" s="139">
        <v>-24346</v>
      </c>
      <c r="DC220" s="146">
        <v>10783</v>
      </c>
      <c r="DD220" s="146">
        <v>13093</v>
      </c>
      <c r="DE220" s="160"/>
      <c r="DG220" s="138">
        <v>-147</v>
      </c>
      <c r="DH220" s="138">
        <v>270</v>
      </c>
      <c r="DI220" s="139">
        <v>-347</v>
      </c>
      <c r="DJ220" s="138">
        <v>936</v>
      </c>
      <c r="DK220" s="139"/>
      <c r="DL220" s="139"/>
      <c r="DM220" s="139">
        <v>-1283</v>
      </c>
      <c r="DN220" s="139"/>
      <c r="DP220" s="139"/>
      <c r="DQ220" s="138">
        <v>-1283</v>
      </c>
      <c r="DR220" s="139">
        <v>-2340</v>
      </c>
      <c r="DS220" s="139">
        <v>-281</v>
      </c>
      <c r="DT220" s="176"/>
      <c r="DU220" s="139">
        <v>49</v>
      </c>
      <c r="DV220" s="151">
        <v>-1048</v>
      </c>
      <c r="DW220" s="138">
        <v>-2306</v>
      </c>
      <c r="DX220" s="138">
        <v>10783</v>
      </c>
      <c r="DY220" s="146">
        <v>9039</v>
      </c>
      <c r="DZ220" s="196">
        <v>808</v>
      </c>
      <c r="EA220" s="146">
        <v>936</v>
      </c>
      <c r="EB220" s="114">
        <v>20.5</v>
      </c>
      <c r="EC220" s="152"/>
      <c r="ED220" s="138">
        <v>292</v>
      </c>
      <c r="EE220" s="138">
        <v>21803</v>
      </c>
      <c r="EF220" s="138">
        <v>23041</v>
      </c>
      <c r="EG220" s="138">
        <v>20078</v>
      </c>
      <c r="EH220" s="138"/>
      <c r="EI220" s="138"/>
      <c r="EJ220" s="138"/>
      <c r="EK220" s="3">
        <v>-834</v>
      </c>
      <c r="EL220" s="138">
        <v>44</v>
      </c>
      <c r="EM220" s="138">
        <v>73</v>
      </c>
      <c r="EN220" s="3">
        <v>-1123</v>
      </c>
      <c r="EO220" s="138"/>
      <c r="EP220" s="138">
        <v>37</v>
      </c>
      <c r="EQ220" s="3">
        <v>-2042</v>
      </c>
      <c r="ES220" s="138">
        <v>17</v>
      </c>
      <c r="ET220" s="163">
        <v>1200</v>
      </c>
      <c r="EU220" s="163"/>
      <c r="EV220" s="138">
        <v>1000</v>
      </c>
      <c r="EW220" s="138">
        <v>89</v>
      </c>
      <c r="EX220" s="138">
        <v>1900</v>
      </c>
      <c r="EY220" s="138">
        <v>2111</v>
      </c>
      <c r="EZ220" s="138">
        <v>6764</v>
      </c>
      <c r="FA220" s="138">
        <v>5813</v>
      </c>
      <c r="FB220" s="138">
        <v>951</v>
      </c>
      <c r="FC220" s="138">
        <v>1052</v>
      </c>
      <c r="FD220" s="138">
        <v>6902</v>
      </c>
      <c r="FE220" s="138">
        <v>5872</v>
      </c>
      <c r="FF220" s="138">
        <v>1030</v>
      </c>
      <c r="FG220" s="138">
        <v>1189</v>
      </c>
      <c r="FH220" s="138">
        <v>9866</v>
      </c>
      <c r="FI220" s="138">
        <v>6441</v>
      </c>
      <c r="FJ220" s="138">
        <v>3425</v>
      </c>
      <c r="FK220" s="138">
        <v>1175</v>
      </c>
      <c r="FL220" s="147">
        <v>2220</v>
      </c>
      <c r="FM220" s="147">
        <v>2304.7691915327723</v>
      </c>
      <c r="FO220" s="181">
        <f t="shared" si="9"/>
        <v>440.9268292682927</v>
      </c>
      <c r="FP220" s="179">
        <f t="shared" si="11"/>
        <v>113.87573069945576</v>
      </c>
      <c r="FR220" s="184"/>
      <c r="FV220" s="184">
        <v>936</v>
      </c>
      <c r="FW220" s="2">
        <f t="shared" si="10"/>
        <v>-936</v>
      </c>
    </row>
    <row r="221" spans="1:179" ht="12.75">
      <c r="A221" s="82">
        <v>683</v>
      </c>
      <c r="B221" s="80" t="s">
        <v>212</v>
      </c>
      <c r="C221" s="191">
        <v>4262</v>
      </c>
      <c r="D221" s="146"/>
      <c r="E221" s="150">
        <v>5.546979865771812</v>
      </c>
      <c r="F221" s="150">
        <v>15.7</v>
      </c>
      <c r="G221" s="151">
        <v>601</v>
      </c>
      <c r="H221" s="152"/>
      <c r="I221" s="152"/>
      <c r="J221" s="152"/>
      <c r="K221" s="150">
        <v>82.1</v>
      </c>
      <c r="L221" s="151">
        <v>1291</v>
      </c>
      <c r="M221" s="151">
        <v>56</v>
      </c>
      <c r="N221" s="154">
        <v>7944.626935710934</v>
      </c>
      <c r="O221" s="146">
        <v>16854</v>
      </c>
      <c r="P221" s="139">
        <v>4383</v>
      </c>
      <c r="Q221" s="139">
        <v>30843</v>
      </c>
      <c r="R221" s="139">
        <v>-26460</v>
      </c>
      <c r="S221" s="146">
        <v>8766</v>
      </c>
      <c r="T221" s="139">
        <v>20855</v>
      </c>
      <c r="U221" s="160"/>
      <c r="W221" s="138">
        <v>44</v>
      </c>
      <c r="X221" s="138">
        <v>-102</v>
      </c>
      <c r="Y221" s="139">
        <v>3103</v>
      </c>
      <c r="Z221" s="138">
        <v>1234</v>
      </c>
      <c r="AC221" s="139">
        <v>1869</v>
      </c>
      <c r="AD221" s="138">
        <v>96</v>
      </c>
      <c r="AG221" s="139">
        <v>1965</v>
      </c>
      <c r="AH221" s="139">
        <v>9160</v>
      </c>
      <c r="AI221" s="139">
        <v>2978</v>
      </c>
      <c r="AJ221" s="176"/>
      <c r="AK221" s="138">
        <v>105</v>
      </c>
      <c r="AL221" s="151">
        <v>-393</v>
      </c>
      <c r="AM221" s="151">
        <v>117</v>
      </c>
      <c r="AN221" s="146">
        <v>8766</v>
      </c>
      <c r="AO221" s="139">
        <v>7592</v>
      </c>
      <c r="AP221" s="139">
        <v>676</v>
      </c>
      <c r="AQ221" s="139">
        <v>498</v>
      </c>
      <c r="AR221" s="114">
        <v>19.25</v>
      </c>
      <c r="AS221" s="152"/>
      <c r="AT221" s="138">
        <v>13</v>
      </c>
      <c r="AU221" s="191">
        <v>4227</v>
      </c>
      <c r="AV221" s="146"/>
      <c r="AW221" s="150">
        <v>7.391414141414141</v>
      </c>
      <c r="AX221" s="150">
        <v>14.3</v>
      </c>
      <c r="AY221" s="151">
        <v>634</v>
      </c>
      <c r="AZ221" s="152"/>
      <c r="BA221" s="152"/>
      <c r="BB221" s="152"/>
      <c r="BC221" s="150">
        <v>83.6</v>
      </c>
      <c r="BD221" s="151">
        <v>1265</v>
      </c>
      <c r="BE221" s="151">
        <v>53</v>
      </c>
      <c r="BF221" s="154">
        <v>8652.708776910338</v>
      </c>
      <c r="BG221" s="146">
        <v>17717</v>
      </c>
      <c r="BH221" s="139">
        <v>4617</v>
      </c>
      <c r="BI221" s="139">
        <v>33006</v>
      </c>
      <c r="BJ221" s="139">
        <v>-28389</v>
      </c>
      <c r="BK221" s="146">
        <v>9283</v>
      </c>
      <c r="BL221" s="146">
        <v>21761</v>
      </c>
      <c r="BM221" s="160"/>
      <c r="BO221" s="138">
        <v>78</v>
      </c>
      <c r="BP221" s="138">
        <v>139</v>
      </c>
      <c r="BQ221" s="139">
        <v>2872</v>
      </c>
      <c r="BR221" s="138">
        <v>1268</v>
      </c>
      <c r="BU221" s="139">
        <v>1604</v>
      </c>
      <c r="BV221" s="138">
        <v>96</v>
      </c>
      <c r="BY221" s="138">
        <v>1700</v>
      </c>
      <c r="BZ221" s="139">
        <v>10860</v>
      </c>
      <c r="CA221" s="139">
        <v>2711</v>
      </c>
      <c r="CB221" s="176"/>
      <c r="CC221" s="138">
        <v>56</v>
      </c>
      <c r="CD221" s="151">
        <v>-341</v>
      </c>
      <c r="CE221" s="151">
        <v>79</v>
      </c>
      <c r="CF221" s="138">
        <v>9283</v>
      </c>
      <c r="CG221" s="139">
        <v>8270</v>
      </c>
      <c r="CH221" s="139">
        <v>428</v>
      </c>
      <c r="CI221" s="139">
        <v>585</v>
      </c>
      <c r="CJ221" s="114">
        <v>19.25</v>
      </c>
      <c r="CK221" s="152"/>
      <c r="CL221" s="138">
        <v>9</v>
      </c>
      <c r="CM221" s="190">
        <v>4154</v>
      </c>
      <c r="CN221" s="146"/>
      <c r="CO221" s="150">
        <v>7.2292191435768265</v>
      </c>
      <c r="CP221" s="150">
        <v>18.210120982057514</v>
      </c>
      <c r="CQ221" s="151">
        <v>913.3365430909967</v>
      </c>
      <c r="CR221" s="152"/>
      <c r="CS221" s="152"/>
      <c r="CT221" s="152"/>
      <c r="CU221" s="150">
        <v>80.58404113285799</v>
      </c>
      <c r="CV221" s="151">
        <v>1888.0597014925372</v>
      </c>
      <c r="CW221" s="151">
        <v>78.67788924007145</v>
      </c>
      <c r="CX221" s="154">
        <v>8759.027443428022</v>
      </c>
      <c r="CY221" s="146">
        <v>17618</v>
      </c>
      <c r="CZ221" s="139">
        <v>4686</v>
      </c>
      <c r="DA221" s="139">
        <v>34019</v>
      </c>
      <c r="DB221" s="139">
        <v>-29333</v>
      </c>
      <c r="DC221" s="146">
        <v>9678</v>
      </c>
      <c r="DD221" s="146">
        <v>22253</v>
      </c>
      <c r="DE221" s="160"/>
      <c r="DG221" s="138">
        <v>-1</v>
      </c>
      <c r="DH221" s="138">
        <v>198</v>
      </c>
      <c r="DI221" s="139">
        <v>2795</v>
      </c>
      <c r="DJ221" s="138">
        <v>1302</v>
      </c>
      <c r="DM221" s="139">
        <v>1493</v>
      </c>
      <c r="DN221" s="138">
        <v>96</v>
      </c>
      <c r="DO221" s="138">
        <v>-1400</v>
      </c>
      <c r="DQ221" s="138">
        <v>189</v>
      </c>
      <c r="DR221" s="139">
        <v>11049</v>
      </c>
      <c r="DS221" s="139">
        <v>2776</v>
      </c>
      <c r="DT221" s="176"/>
      <c r="DU221" s="138">
        <v>-195</v>
      </c>
      <c r="DV221" s="151">
        <v>-322</v>
      </c>
      <c r="DW221" s="138">
        <v>1012</v>
      </c>
      <c r="DX221" s="138">
        <v>9678</v>
      </c>
      <c r="DY221" s="146">
        <v>8569</v>
      </c>
      <c r="DZ221" s="196">
        <v>479</v>
      </c>
      <c r="EA221" s="146">
        <v>630</v>
      </c>
      <c r="EB221" s="114">
        <v>19.25</v>
      </c>
      <c r="EC221" s="152"/>
      <c r="ED221" s="138">
        <v>22</v>
      </c>
      <c r="EE221" s="138">
        <v>9541</v>
      </c>
      <c r="EF221" s="138">
        <v>10418</v>
      </c>
      <c r="EG221" s="138">
        <v>11376</v>
      </c>
      <c r="EH221" s="138"/>
      <c r="EI221" s="138"/>
      <c r="EJ221" s="138"/>
      <c r="EK221" s="3">
        <v>-3704</v>
      </c>
      <c r="EL221" s="138">
        <v>787</v>
      </c>
      <c r="EM221" s="138">
        <v>56</v>
      </c>
      <c r="EN221" s="3">
        <v>-2968</v>
      </c>
      <c r="EO221" s="138">
        <v>127</v>
      </c>
      <c r="EP221" s="138">
        <v>209</v>
      </c>
      <c r="EQ221" s="3">
        <v>-1873</v>
      </c>
      <c r="ER221" s="138">
        <v>81</v>
      </c>
      <c r="ES221" s="138">
        <v>28</v>
      </c>
      <c r="ET221" s="163"/>
      <c r="EU221" s="163"/>
      <c r="EV221" s="138"/>
      <c r="EW221" s="138"/>
      <c r="EX221" s="138">
        <v>2000</v>
      </c>
      <c r="EY221" s="138"/>
      <c r="EZ221" s="138">
        <v>1615</v>
      </c>
      <c r="FA221" s="138">
        <v>1274</v>
      </c>
      <c r="FB221" s="138">
        <v>341</v>
      </c>
      <c r="FC221" s="138">
        <v>0</v>
      </c>
      <c r="FD221" s="138">
        <v>1274</v>
      </c>
      <c r="FE221" s="138">
        <v>952</v>
      </c>
      <c r="FF221" s="138">
        <v>322</v>
      </c>
      <c r="FG221" s="138">
        <v>0</v>
      </c>
      <c r="FH221" s="138">
        <v>2953</v>
      </c>
      <c r="FI221" s="138">
        <v>2493</v>
      </c>
      <c r="FJ221" s="138">
        <v>460</v>
      </c>
      <c r="FK221" s="138">
        <v>0</v>
      </c>
      <c r="FL221" s="147">
        <v>1996</v>
      </c>
      <c r="FM221" s="147">
        <v>2306.8370002365746</v>
      </c>
      <c r="FO221" s="181">
        <f t="shared" si="9"/>
        <v>445.14285714285717</v>
      </c>
      <c r="FP221" s="179">
        <f t="shared" si="11"/>
        <v>107.16005227319623</v>
      </c>
      <c r="FR221" s="184"/>
      <c r="FV221" s="184">
        <v>393</v>
      </c>
      <c r="FW221" s="2">
        <f t="shared" si="10"/>
        <v>-393</v>
      </c>
    </row>
    <row r="222" spans="1:179" ht="12.75">
      <c r="A222" s="82">
        <v>684</v>
      </c>
      <c r="B222" s="80" t="s">
        <v>213</v>
      </c>
      <c r="C222" s="191">
        <v>39820</v>
      </c>
      <c r="D222" s="146"/>
      <c r="E222" s="150">
        <v>80.67687074829932</v>
      </c>
      <c r="F222" s="150">
        <v>14.1</v>
      </c>
      <c r="G222" s="151">
        <v>1052</v>
      </c>
      <c r="H222" s="152"/>
      <c r="I222" s="152"/>
      <c r="J222" s="152"/>
      <c r="K222" s="150">
        <v>85.6</v>
      </c>
      <c r="L222" s="151">
        <v>1580</v>
      </c>
      <c r="M222" s="151">
        <v>87</v>
      </c>
      <c r="N222" s="154">
        <v>6129.281767955801</v>
      </c>
      <c r="O222" s="146">
        <v>117507</v>
      </c>
      <c r="P222" s="139">
        <v>67469</v>
      </c>
      <c r="Q222" s="139">
        <v>239511</v>
      </c>
      <c r="R222" s="139">
        <v>-172042</v>
      </c>
      <c r="S222" s="146">
        <v>145672</v>
      </c>
      <c r="T222" s="139">
        <v>46498</v>
      </c>
      <c r="U222" s="160"/>
      <c r="W222" s="138">
        <v>2254</v>
      </c>
      <c r="X222" s="138">
        <v>1265</v>
      </c>
      <c r="Y222" s="139">
        <v>23647</v>
      </c>
      <c r="Z222" s="138">
        <v>17814</v>
      </c>
      <c r="AC222" s="139">
        <v>5833</v>
      </c>
      <c r="AD222" s="139">
        <v>-1449</v>
      </c>
      <c r="AE222" s="138">
        <v>2000</v>
      </c>
      <c r="AF222" s="138">
        <v>-474</v>
      </c>
      <c r="AG222" s="139">
        <v>5910</v>
      </c>
      <c r="AH222" s="139">
        <v>106255</v>
      </c>
      <c r="AI222" s="139">
        <v>23397</v>
      </c>
      <c r="AJ222" s="176"/>
      <c r="AK222" s="139">
        <v>-2501</v>
      </c>
      <c r="AL222" s="151">
        <v>-222</v>
      </c>
      <c r="AM222" s="151">
        <v>2328</v>
      </c>
      <c r="AN222" s="146">
        <v>145672</v>
      </c>
      <c r="AO222" s="139">
        <v>123812</v>
      </c>
      <c r="AP222" s="139">
        <v>16411</v>
      </c>
      <c r="AQ222" s="139">
        <v>5449</v>
      </c>
      <c r="AR222" s="114">
        <v>18</v>
      </c>
      <c r="AS222" s="152"/>
      <c r="AT222" s="138">
        <v>23</v>
      </c>
      <c r="AU222" s="191">
        <v>39842</v>
      </c>
      <c r="AV222" s="146"/>
      <c r="AW222" s="150">
        <v>89.02714932126698</v>
      </c>
      <c r="AX222" s="150">
        <v>14.2</v>
      </c>
      <c r="AY222" s="151">
        <v>1182</v>
      </c>
      <c r="AZ222" s="152"/>
      <c r="BA222" s="152"/>
      <c r="BB222" s="152"/>
      <c r="BC222" s="150">
        <v>85.1</v>
      </c>
      <c r="BD222" s="151">
        <v>1804</v>
      </c>
      <c r="BE222" s="151">
        <v>94</v>
      </c>
      <c r="BF222" s="154">
        <v>6967.546809899101</v>
      </c>
      <c r="BG222" s="146">
        <v>129405</v>
      </c>
      <c r="BH222" s="139">
        <v>68661</v>
      </c>
      <c r="BI222" s="139">
        <v>253831</v>
      </c>
      <c r="BJ222" s="139">
        <v>-185170</v>
      </c>
      <c r="BK222" s="146">
        <v>151725</v>
      </c>
      <c r="BL222" s="146">
        <v>50401</v>
      </c>
      <c r="BM222" s="160"/>
      <c r="BO222" s="138">
        <v>2056</v>
      </c>
      <c r="BP222" s="138">
        <v>647</v>
      </c>
      <c r="BQ222" s="139">
        <v>19659</v>
      </c>
      <c r="BR222" s="138">
        <v>25669</v>
      </c>
      <c r="BS222" s="138">
        <v>4041</v>
      </c>
      <c r="BU222" s="139">
        <v>-1969</v>
      </c>
      <c r="BV222" s="139">
        <v>63</v>
      </c>
      <c r="BY222" s="138">
        <v>-1906</v>
      </c>
      <c r="BZ222" s="139">
        <v>104352</v>
      </c>
      <c r="CA222" s="139">
        <v>19460</v>
      </c>
      <c r="CB222" s="176"/>
      <c r="CC222" s="139">
        <v>1997</v>
      </c>
      <c r="CD222" s="151">
        <v>-205</v>
      </c>
      <c r="CE222" s="151">
        <v>4974</v>
      </c>
      <c r="CF222" s="138">
        <v>151725</v>
      </c>
      <c r="CG222" s="139">
        <v>128824</v>
      </c>
      <c r="CH222" s="139">
        <v>17412</v>
      </c>
      <c r="CI222" s="139">
        <v>5489</v>
      </c>
      <c r="CJ222" s="114">
        <v>18</v>
      </c>
      <c r="CK222" s="152"/>
      <c r="CL222" s="138">
        <v>21</v>
      </c>
      <c r="CM222" s="190">
        <v>39979</v>
      </c>
      <c r="CN222" s="146"/>
      <c r="CO222" s="150">
        <v>143.28488372093022</v>
      </c>
      <c r="CP222" s="150">
        <v>14.252444949645474</v>
      </c>
      <c r="CQ222" s="151">
        <v>1153.45556417119</v>
      </c>
      <c r="CR222" s="152"/>
      <c r="CS222" s="152"/>
      <c r="CT222" s="152"/>
      <c r="CU222" s="150">
        <v>82.94483354655647</v>
      </c>
      <c r="CV222" s="151">
        <v>1849.0457490182346</v>
      </c>
      <c r="CW222" s="151">
        <v>91.930559483208</v>
      </c>
      <c r="CX222" s="154">
        <v>7341.4292503564375</v>
      </c>
      <c r="CY222" s="146">
        <v>132576</v>
      </c>
      <c r="CZ222" s="139">
        <v>73161</v>
      </c>
      <c r="DA222" s="139">
        <v>265887</v>
      </c>
      <c r="DB222" s="139">
        <v>-192726</v>
      </c>
      <c r="DC222" s="146">
        <v>164020</v>
      </c>
      <c r="DD222" s="146">
        <v>51373</v>
      </c>
      <c r="DE222" s="160"/>
      <c r="DG222" s="138">
        <v>1712</v>
      </c>
      <c r="DH222" s="138">
        <v>257</v>
      </c>
      <c r="DI222" s="139">
        <v>24636</v>
      </c>
      <c r="DJ222" s="138">
        <v>21645</v>
      </c>
      <c r="DM222" s="139">
        <v>2991</v>
      </c>
      <c r="DN222" s="139">
        <v>63</v>
      </c>
      <c r="DQ222" s="138">
        <v>3054</v>
      </c>
      <c r="DR222" s="139">
        <v>102425</v>
      </c>
      <c r="DS222" s="139">
        <v>24329</v>
      </c>
      <c r="DT222" s="176"/>
      <c r="DU222" s="139">
        <v>329</v>
      </c>
      <c r="DV222" s="151">
        <v>-163</v>
      </c>
      <c r="DW222" s="138">
        <v>-2031</v>
      </c>
      <c r="DX222" s="138">
        <v>164020</v>
      </c>
      <c r="DY222" s="146">
        <v>136233</v>
      </c>
      <c r="DZ222" s="196">
        <v>22523</v>
      </c>
      <c r="EA222" s="146">
        <v>5264</v>
      </c>
      <c r="EB222" s="114">
        <v>18</v>
      </c>
      <c r="EC222" s="152"/>
      <c r="ED222" s="138">
        <v>30</v>
      </c>
      <c r="EE222" s="138">
        <v>87948</v>
      </c>
      <c r="EF222" s="138">
        <v>84760</v>
      </c>
      <c r="EG222" s="138">
        <v>93264</v>
      </c>
      <c r="EH222" s="138"/>
      <c r="EI222" s="138"/>
      <c r="EJ222" s="138"/>
      <c r="EK222" s="3">
        <v>-23428</v>
      </c>
      <c r="EL222" s="138">
        <v>1786</v>
      </c>
      <c r="EM222" s="138">
        <v>573</v>
      </c>
      <c r="EN222" s="3">
        <v>-23487</v>
      </c>
      <c r="EO222" s="138">
        <v>469</v>
      </c>
      <c r="EP222" s="138">
        <v>8532</v>
      </c>
      <c r="EQ222" s="3">
        <v>-27251</v>
      </c>
      <c r="ER222" s="138">
        <v>236</v>
      </c>
      <c r="ES222" s="138">
        <v>655</v>
      </c>
      <c r="ET222" s="163"/>
      <c r="EU222" s="163">
        <v>-97</v>
      </c>
      <c r="EV222" s="138"/>
      <c r="EW222" s="138">
        <v>-19</v>
      </c>
      <c r="EX222" s="138"/>
      <c r="EY222" s="138">
        <v>-43</v>
      </c>
      <c r="EZ222" s="138">
        <v>984</v>
      </c>
      <c r="FA222" s="138">
        <v>760</v>
      </c>
      <c r="FB222" s="138">
        <v>224</v>
      </c>
      <c r="FC222" s="138">
        <v>14920</v>
      </c>
      <c r="FD222" s="138">
        <v>760</v>
      </c>
      <c r="FE222" s="138">
        <v>555</v>
      </c>
      <c r="FF222" s="138">
        <v>205</v>
      </c>
      <c r="FG222" s="138">
        <v>14590</v>
      </c>
      <c r="FH222" s="138">
        <v>558</v>
      </c>
      <c r="FI222" s="138">
        <v>393</v>
      </c>
      <c r="FJ222" s="138">
        <v>165</v>
      </c>
      <c r="FK222" s="138">
        <v>13641</v>
      </c>
      <c r="FL222" s="147">
        <v>1238</v>
      </c>
      <c r="FM222" s="147">
        <v>1283.921489885046</v>
      </c>
      <c r="FO222" s="181">
        <f t="shared" si="9"/>
        <v>7568.5</v>
      </c>
      <c r="FP222" s="179">
        <f t="shared" si="11"/>
        <v>189.31188874158934</v>
      </c>
      <c r="FR222" s="184"/>
      <c r="FV222" s="184">
        <v>222</v>
      </c>
      <c r="FW222" s="2">
        <f t="shared" si="10"/>
        <v>-222</v>
      </c>
    </row>
    <row r="223" spans="1:179" ht="12.75">
      <c r="A223" s="82">
        <v>686</v>
      </c>
      <c r="B223" s="80" t="s">
        <v>214</v>
      </c>
      <c r="C223" s="191">
        <v>3481</v>
      </c>
      <c r="D223" s="146"/>
      <c r="E223" s="150">
        <v>0.6564705882352941</v>
      </c>
      <c r="F223" s="150">
        <v>37.4</v>
      </c>
      <c r="G223" s="151">
        <v>-2047</v>
      </c>
      <c r="H223" s="152"/>
      <c r="I223" s="152"/>
      <c r="J223" s="152"/>
      <c r="K223" s="150">
        <v>49.4</v>
      </c>
      <c r="L223" s="151">
        <v>87</v>
      </c>
      <c r="M223" s="151">
        <v>5</v>
      </c>
      <c r="N223" s="154">
        <v>13246.768170066072</v>
      </c>
      <c r="O223" s="146">
        <v>7294</v>
      </c>
      <c r="P223" s="139">
        <v>2752</v>
      </c>
      <c r="Q223" s="139">
        <v>21837</v>
      </c>
      <c r="R223" s="139">
        <v>-19085</v>
      </c>
      <c r="S223" s="146">
        <v>8695</v>
      </c>
      <c r="T223" s="139">
        <v>11135</v>
      </c>
      <c r="U223" s="160"/>
      <c r="W223" s="138">
        <v>-156</v>
      </c>
      <c r="X223" s="138">
        <v>226</v>
      </c>
      <c r="Y223" s="139">
        <v>815</v>
      </c>
      <c r="Z223" s="138">
        <v>629</v>
      </c>
      <c r="AB223" s="138">
        <v>17</v>
      </c>
      <c r="AC223" s="139">
        <v>169</v>
      </c>
      <c r="AD223" s="139"/>
      <c r="AE223" s="139"/>
      <c r="AG223" s="139">
        <v>169</v>
      </c>
      <c r="AH223" s="139">
        <v>276</v>
      </c>
      <c r="AI223" s="139">
        <v>783</v>
      </c>
      <c r="AJ223" s="176"/>
      <c r="AK223" s="138">
        <v>380</v>
      </c>
      <c r="AL223" s="151">
        <v>-1253</v>
      </c>
      <c r="AM223" s="151">
        <v>407</v>
      </c>
      <c r="AN223" s="146">
        <v>8695</v>
      </c>
      <c r="AO223" s="139">
        <v>7275</v>
      </c>
      <c r="AP223" s="139">
        <v>784</v>
      </c>
      <c r="AQ223" s="139">
        <v>636</v>
      </c>
      <c r="AR223" s="114">
        <v>20.5</v>
      </c>
      <c r="AS223" s="152"/>
      <c r="AT223" s="138">
        <v>173</v>
      </c>
      <c r="AU223" s="191">
        <v>3444</v>
      </c>
      <c r="AV223" s="146"/>
      <c r="AW223" s="150">
        <v>0.21617946974847044</v>
      </c>
      <c r="AX223" s="150">
        <v>38.1</v>
      </c>
      <c r="AY223" s="151">
        <v>-2316</v>
      </c>
      <c r="AZ223" s="152"/>
      <c r="BA223" s="152"/>
      <c r="BB223" s="152"/>
      <c r="BC223" s="150">
        <v>46.6</v>
      </c>
      <c r="BD223" s="151">
        <v>1</v>
      </c>
      <c r="BE223" s="151">
        <v>0</v>
      </c>
      <c r="BF223" s="154">
        <v>7566.202090592335</v>
      </c>
      <c r="BG223" s="146">
        <v>7741</v>
      </c>
      <c r="BH223" s="139">
        <v>2547</v>
      </c>
      <c r="BI223" s="139">
        <v>23519</v>
      </c>
      <c r="BJ223" s="139">
        <v>-20972</v>
      </c>
      <c r="BK223" s="146">
        <v>8930</v>
      </c>
      <c r="BL223" s="146">
        <v>12090</v>
      </c>
      <c r="BM223" s="160"/>
      <c r="BO223" s="138">
        <v>-108</v>
      </c>
      <c r="BP223" s="138">
        <v>261</v>
      </c>
      <c r="BQ223" s="139">
        <v>201</v>
      </c>
      <c r="BR223" s="138">
        <v>633</v>
      </c>
      <c r="BU223" s="139">
        <v>-432</v>
      </c>
      <c r="BV223" s="139"/>
      <c r="BW223" s="139"/>
      <c r="BY223" s="138">
        <v>-432</v>
      </c>
      <c r="BZ223" s="139">
        <v>-156</v>
      </c>
      <c r="CA223" s="139">
        <v>200</v>
      </c>
      <c r="CB223" s="176"/>
      <c r="CC223" s="138">
        <v>21</v>
      </c>
      <c r="CD223" s="151">
        <v>-1354</v>
      </c>
      <c r="CE223" s="151">
        <v>-844</v>
      </c>
      <c r="CF223" s="138">
        <v>8930</v>
      </c>
      <c r="CG223" s="139">
        <v>7749</v>
      </c>
      <c r="CH223" s="139">
        <v>476</v>
      </c>
      <c r="CI223" s="139">
        <v>705</v>
      </c>
      <c r="CJ223" s="114">
        <v>20.5</v>
      </c>
      <c r="CK223" s="152"/>
      <c r="CL223" s="138">
        <v>215</v>
      </c>
      <c r="CM223" s="190">
        <v>3426</v>
      </c>
      <c r="CN223" s="146"/>
      <c r="CO223" s="150">
        <v>0.4636042402826855</v>
      </c>
      <c r="CP223" s="150">
        <v>51.442622950819676</v>
      </c>
      <c r="CQ223" s="151">
        <v>-3064.5067133683597</v>
      </c>
      <c r="CR223" s="152"/>
      <c r="CS223" s="152"/>
      <c r="CT223" s="152"/>
      <c r="CU223" s="150">
        <v>38.08660723033213</v>
      </c>
      <c r="CV223" s="151">
        <v>230.29772329246936</v>
      </c>
      <c r="CW223" s="151">
        <v>10.066237897165227</v>
      </c>
      <c r="CX223" s="154">
        <v>8350.55458260362</v>
      </c>
      <c r="CY223" s="146">
        <v>7926</v>
      </c>
      <c r="CZ223" s="139">
        <v>2666</v>
      </c>
      <c r="DA223" s="139">
        <v>24083</v>
      </c>
      <c r="DB223" s="139">
        <v>-21417</v>
      </c>
      <c r="DC223" s="146">
        <v>9380</v>
      </c>
      <c r="DD223" s="146">
        <v>12354</v>
      </c>
      <c r="DE223" s="160"/>
      <c r="DG223" s="138">
        <v>-163</v>
      </c>
      <c r="DH223" s="138">
        <v>337</v>
      </c>
      <c r="DI223" s="139">
        <v>491</v>
      </c>
      <c r="DJ223" s="138">
        <v>636</v>
      </c>
      <c r="DM223" s="139">
        <v>-145</v>
      </c>
      <c r="DN223" s="139"/>
      <c r="DO223" s="139"/>
      <c r="DQ223" s="138">
        <v>-145</v>
      </c>
      <c r="DR223" s="139">
        <v>-301</v>
      </c>
      <c r="DS223" s="139">
        <v>505</v>
      </c>
      <c r="DT223" s="176"/>
      <c r="DU223" s="138">
        <v>-268</v>
      </c>
      <c r="DV223" s="151">
        <v>-1250</v>
      </c>
      <c r="DW223" s="138">
        <v>-2521</v>
      </c>
      <c r="DX223" s="138">
        <v>9380</v>
      </c>
      <c r="DY223" s="146">
        <v>7982</v>
      </c>
      <c r="DZ223" s="196">
        <v>547</v>
      </c>
      <c r="EA223" s="146">
        <v>851</v>
      </c>
      <c r="EB223" s="114">
        <v>20.5</v>
      </c>
      <c r="EC223" s="152"/>
      <c r="ED223" s="138">
        <v>228</v>
      </c>
      <c r="EE223" s="138">
        <v>11737</v>
      </c>
      <c r="EF223" s="138">
        <v>12868</v>
      </c>
      <c r="EG223" s="138">
        <v>13260</v>
      </c>
      <c r="EH223" s="138"/>
      <c r="EI223" s="138"/>
      <c r="EJ223" s="138"/>
      <c r="EK223" s="3">
        <v>-395</v>
      </c>
      <c r="EL223" s="138">
        <v>2</v>
      </c>
      <c r="EM223" s="138">
        <v>17</v>
      </c>
      <c r="EN223" s="3">
        <v>-1047</v>
      </c>
      <c r="EO223" s="138">
        <v>1</v>
      </c>
      <c r="EP223" s="138">
        <v>2</v>
      </c>
      <c r="EQ223" s="3">
        <v>-3090</v>
      </c>
      <c r="ER223" s="138">
        <v>4</v>
      </c>
      <c r="ES223" s="138">
        <v>60</v>
      </c>
      <c r="ET223" s="163"/>
      <c r="EU223" s="163"/>
      <c r="EV223" s="138"/>
      <c r="EW223" s="138">
        <v>1728</v>
      </c>
      <c r="EX223" s="138">
        <v>4700</v>
      </c>
      <c r="EY223" s="138">
        <v>-428</v>
      </c>
      <c r="EZ223" s="138">
        <v>6611</v>
      </c>
      <c r="FA223" s="138">
        <v>5258</v>
      </c>
      <c r="FB223" s="138">
        <v>1353</v>
      </c>
      <c r="FC223" s="138">
        <v>298</v>
      </c>
      <c r="FD223" s="138">
        <v>6985</v>
      </c>
      <c r="FE223" s="138">
        <v>4126</v>
      </c>
      <c r="FF223" s="138">
        <v>2859</v>
      </c>
      <c r="FG223" s="138">
        <v>289</v>
      </c>
      <c r="FH223" s="138">
        <v>10008</v>
      </c>
      <c r="FI223" s="138">
        <v>7215</v>
      </c>
      <c r="FJ223" s="138">
        <v>2793</v>
      </c>
      <c r="FK223" s="138">
        <v>280</v>
      </c>
      <c r="FL223" s="147">
        <v>3288</v>
      </c>
      <c r="FM223" s="147">
        <v>3566.2020905923346</v>
      </c>
      <c r="FO223" s="181">
        <f t="shared" si="9"/>
        <v>389.3658536585366</v>
      </c>
      <c r="FP223" s="179">
        <f t="shared" si="11"/>
        <v>113.65027835917589</v>
      </c>
      <c r="FR223" s="184"/>
      <c r="FV223" s="184">
        <v>1253</v>
      </c>
      <c r="FW223" s="2">
        <f t="shared" si="10"/>
        <v>-1253</v>
      </c>
    </row>
    <row r="224" spans="1:179" ht="12.75">
      <c r="A224" s="82">
        <v>687</v>
      </c>
      <c r="B224" s="80" t="s">
        <v>215</v>
      </c>
      <c r="C224" s="191">
        <v>1848</v>
      </c>
      <c r="D224" s="146"/>
      <c r="E224" s="150">
        <v>1.0013888888888889</v>
      </c>
      <c r="F224" s="150">
        <v>43.6</v>
      </c>
      <c r="G224" s="151">
        <v>-1424</v>
      </c>
      <c r="H224" s="152"/>
      <c r="I224" s="152"/>
      <c r="J224" s="152"/>
      <c r="K224" s="150">
        <v>63.9</v>
      </c>
      <c r="L224" s="151">
        <v>1623</v>
      </c>
      <c r="M224" s="151">
        <v>57</v>
      </c>
      <c r="N224" s="154">
        <v>8497.835497835498</v>
      </c>
      <c r="O224" s="146">
        <v>6406</v>
      </c>
      <c r="P224" s="139">
        <v>2569</v>
      </c>
      <c r="Q224" s="139">
        <v>13917</v>
      </c>
      <c r="R224" s="139">
        <v>-11348</v>
      </c>
      <c r="S224" s="146">
        <v>4898</v>
      </c>
      <c r="T224" s="139">
        <v>7647</v>
      </c>
      <c r="U224" s="160"/>
      <c r="W224" s="138">
        <v>-91</v>
      </c>
      <c r="X224" s="138">
        <v>149</v>
      </c>
      <c r="Y224" s="139">
        <v>1255</v>
      </c>
      <c r="Z224" s="138">
        <v>413</v>
      </c>
      <c r="AC224" s="139">
        <v>842</v>
      </c>
      <c r="AG224" s="139">
        <v>842</v>
      </c>
      <c r="AH224" s="139">
        <v>3725</v>
      </c>
      <c r="AI224" s="139">
        <v>1159</v>
      </c>
      <c r="AJ224" s="176"/>
      <c r="AK224" s="139">
        <v>584</v>
      </c>
      <c r="AL224" s="151">
        <v>-1253</v>
      </c>
      <c r="AM224" s="151">
        <v>-1038</v>
      </c>
      <c r="AN224" s="146">
        <v>4898</v>
      </c>
      <c r="AO224" s="139">
        <v>3408</v>
      </c>
      <c r="AP224" s="139">
        <v>1265</v>
      </c>
      <c r="AQ224" s="139">
        <v>225</v>
      </c>
      <c r="AR224" s="114">
        <v>20</v>
      </c>
      <c r="AS224" s="152"/>
      <c r="AT224" s="138">
        <v>17</v>
      </c>
      <c r="AU224" s="191">
        <v>1813</v>
      </c>
      <c r="AV224" s="146"/>
      <c r="AW224" s="150">
        <v>0.8564516129032258</v>
      </c>
      <c r="AX224" s="150">
        <v>43.1</v>
      </c>
      <c r="AY224" s="151">
        <v>-2276</v>
      </c>
      <c r="AZ224" s="152"/>
      <c r="BA224" s="152"/>
      <c r="BB224" s="152"/>
      <c r="BC224" s="150">
        <v>65</v>
      </c>
      <c r="BD224" s="151">
        <v>933</v>
      </c>
      <c r="BE224" s="151">
        <v>34</v>
      </c>
      <c r="BF224" s="154">
        <v>10072.255929398785</v>
      </c>
      <c r="BG224" s="146">
        <v>5959</v>
      </c>
      <c r="BH224" s="139">
        <v>2567</v>
      </c>
      <c r="BI224" s="139">
        <v>14239</v>
      </c>
      <c r="BJ224" s="139">
        <v>-11672</v>
      </c>
      <c r="BK224" s="146">
        <v>4595</v>
      </c>
      <c r="BL224" s="146">
        <v>7896</v>
      </c>
      <c r="BM224" s="160"/>
      <c r="BO224" s="138">
        <v>-101</v>
      </c>
      <c r="BP224" s="138">
        <v>217</v>
      </c>
      <c r="BQ224" s="139">
        <v>935</v>
      </c>
      <c r="BR224" s="138">
        <v>558</v>
      </c>
      <c r="BU224" s="139">
        <v>377</v>
      </c>
      <c r="BY224" s="138">
        <v>377</v>
      </c>
      <c r="BZ224" s="139">
        <v>4102</v>
      </c>
      <c r="CA224" s="139">
        <v>862</v>
      </c>
      <c r="CB224" s="176"/>
      <c r="CC224" s="139">
        <v>291</v>
      </c>
      <c r="CD224" s="151">
        <v>-1113</v>
      </c>
      <c r="CE224" s="151">
        <v>-1496</v>
      </c>
      <c r="CF224" s="138">
        <v>4595</v>
      </c>
      <c r="CG224" s="139">
        <v>3631</v>
      </c>
      <c r="CH224" s="139">
        <v>722</v>
      </c>
      <c r="CI224" s="139">
        <v>242</v>
      </c>
      <c r="CJ224" s="114">
        <v>20</v>
      </c>
      <c r="CK224" s="152"/>
      <c r="CL224" s="138">
        <v>17</v>
      </c>
      <c r="CM224" s="190">
        <v>1784</v>
      </c>
      <c r="CN224" s="146"/>
      <c r="CO224" s="150">
        <v>0.8861323155216285</v>
      </c>
      <c r="CP224" s="150">
        <v>47.34910793369607</v>
      </c>
      <c r="CQ224" s="151">
        <v>-2594.170403587444</v>
      </c>
      <c r="CR224" s="152"/>
      <c r="CS224" s="152"/>
      <c r="CT224" s="152"/>
      <c r="CU224" s="150">
        <v>62.67520248314661</v>
      </c>
      <c r="CV224" s="151">
        <v>1005.6053811659193</v>
      </c>
      <c r="CW224" s="151">
        <v>34.6002642007926</v>
      </c>
      <c r="CX224" s="154">
        <v>10608.183856502243</v>
      </c>
      <c r="CY224" s="146">
        <v>6164</v>
      </c>
      <c r="CZ224" s="139">
        <v>2717</v>
      </c>
      <c r="DA224" s="139">
        <v>14727</v>
      </c>
      <c r="DB224" s="139">
        <v>-12010</v>
      </c>
      <c r="DC224" s="146">
        <v>4811</v>
      </c>
      <c r="DD224" s="146">
        <v>8278</v>
      </c>
      <c r="DE224" s="160"/>
      <c r="DG224" s="138">
        <v>-96</v>
      </c>
      <c r="DH224" s="138">
        <v>297</v>
      </c>
      <c r="DI224" s="139">
        <v>1280</v>
      </c>
      <c r="DJ224" s="138">
        <v>900</v>
      </c>
      <c r="DK224" s="138">
        <v>51</v>
      </c>
      <c r="DM224" s="139">
        <v>431</v>
      </c>
      <c r="DQ224" s="138">
        <v>431</v>
      </c>
      <c r="DR224" s="139">
        <v>4528</v>
      </c>
      <c r="DS224" s="139">
        <v>1306</v>
      </c>
      <c r="DT224" s="176"/>
      <c r="DU224" s="139">
        <v>-388</v>
      </c>
      <c r="DV224" s="151">
        <v>-1459</v>
      </c>
      <c r="DW224" s="138">
        <v>-460</v>
      </c>
      <c r="DX224" s="138">
        <v>4811</v>
      </c>
      <c r="DY224" s="146">
        <v>3641</v>
      </c>
      <c r="DZ224" s="196">
        <v>931</v>
      </c>
      <c r="EA224" s="146">
        <v>239</v>
      </c>
      <c r="EB224" s="114">
        <v>20</v>
      </c>
      <c r="EC224" s="152"/>
      <c r="ED224" s="138">
        <v>18</v>
      </c>
      <c r="EE224" s="138">
        <v>5719</v>
      </c>
      <c r="EF224" s="138">
        <v>6717</v>
      </c>
      <c r="EG224" s="138">
        <v>6901</v>
      </c>
      <c r="EH224" s="138"/>
      <c r="EI224" s="138"/>
      <c r="EJ224" s="138"/>
      <c r="EK224" s="3">
        <v>-3748</v>
      </c>
      <c r="EL224" s="138">
        <v>1435</v>
      </c>
      <c r="EM224" s="138">
        <v>116</v>
      </c>
      <c r="EN224" s="3">
        <v>-2780</v>
      </c>
      <c r="EO224" s="138">
        <v>336</v>
      </c>
      <c r="EP224" s="138">
        <v>86</v>
      </c>
      <c r="EQ224" s="3">
        <v>-2625</v>
      </c>
      <c r="ER224" s="138">
        <v>817</v>
      </c>
      <c r="ES224" s="138">
        <v>42</v>
      </c>
      <c r="ET224" s="163">
        <v>2150</v>
      </c>
      <c r="EU224" s="163"/>
      <c r="EV224" s="138">
        <v>1000</v>
      </c>
      <c r="EW224" s="138"/>
      <c r="EX224" s="138">
        <v>2158</v>
      </c>
      <c r="EY224" s="138"/>
      <c r="EZ224" s="138">
        <v>4890</v>
      </c>
      <c r="FA224" s="138">
        <v>3777</v>
      </c>
      <c r="FB224" s="138">
        <v>1113</v>
      </c>
      <c r="FC224" s="138">
        <v>185</v>
      </c>
      <c r="FD224" s="138">
        <v>4777</v>
      </c>
      <c r="FE224" s="138">
        <v>3318</v>
      </c>
      <c r="FF224" s="138">
        <v>1459</v>
      </c>
      <c r="FG224" s="138">
        <v>185</v>
      </c>
      <c r="FH224" s="138">
        <v>5476</v>
      </c>
      <c r="FI224" s="138">
        <v>4303</v>
      </c>
      <c r="FJ224" s="138">
        <v>1173</v>
      </c>
      <c r="FK224" s="138">
        <v>185</v>
      </c>
      <c r="FL224" s="147">
        <v>3522</v>
      </c>
      <c r="FM224" s="147">
        <v>3803.640375068947</v>
      </c>
      <c r="FO224" s="181">
        <f t="shared" si="9"/>
        <v>182.05</v>
      </c>
      <c r="FP224" s="179">
        <f t="shared" si="11"/>
        <v>102.04596412556054</v>
      </c>
      <c r="FR224" s="184"/>
      <c r="FV224" s="184">
        <v>1253</v>
      </c>
      <c r="FW224" s="2">
        <f t="shared" si="10"/>
        <v>-1253</v>
      </c>
    </row>
    <row r="225" spans="1:179" ht="12.75">
      <c r="A225" s="82">
        <v>689</v>
      </c>
      <c r="B225" s="80" t="s">
        <v>216</v>
      </c>
      <c r="C225" s="191">
        <v>3832</v>
      </c>
      <c r="D225" s="146"/>
      <c r="E225" s="150">
        <v>2.746774193548387</v>
      </c>
      <c r="F225" s="150">
        <v>30.2</v>
      </c>
      <c r="G225" s="151">
        <v>-968</v>
      </c>
      <c r="H225" s="152"/>
      <c r="I225" s="152"/>
      <c r="J225" s="152"/>
      <c r="K225" s="150">
        <v>69.9</v>
      </c>
      <c r="L225" s="151">
        <v>117</v>
      </c>
      <c r="M225" s="151">
        <v>6</v>
      </c>
      <c r="N225" s="154">
        <v>7118.215031315241</v>
      </c>
      <c r="O225" s="146">
        <v>5976</v>
      </c>
      <c r="P225" s="139">
        <v>3022</v>
      </c>
      <c r="Q225" s="139">
        <v>22166</v>
      </c>
      <c r="R225" s="139">
        <v>-19144</v>
      </c>
      <c r="S225" s="146">
        <v>11186</v>
      </c>
      <c r="T225" s="139">
        <v>9611</v>
      </c>
      <c r="U225" s="160"/>
      <c r="W225" s="138">
        <v>-91</v>
      </c>
      <c r="X225" s="138">
        <v>21</v>
      </c>
      <c r="Y225" s="139">
        <v>1583</v>
      </c>
      <c r="Z225" s="138">
        <v>954</v>
      </c>
      <c r="AC225" s="139">
        <v>629</v>
      </c>
      <c r="AD225" s="138">
        <v>28</v>
      </c>
      <c r="AE225" s="138">
        <v>-300</v>
      </c>
      <c r="AG225" s="139">
        <v>357</v>
      </c>
      <c r="AH225" s="139">
        <v>6311</v>
      </c>
      <c r="AI225" s="139">
        <v>1571</v>
      </c>
      <c r="AJ225" s="176"/>
      <c r="AK225" s="139">
        <v>-444</v>
      </c>
      <c r="AL225" s="151">
        <v>-500</v>
      </c>
      <c r="AM225" s="151">
        <v>-1913</v>
      </c>
      <c r="AN225" s="146">
        <v>11186</v>
      </c>
      <c r="AO225" s="139">
        <v>9981</v>
      </c>
      <c r="AP225" s="139">
        <v>723</v>
      </c>
      <c r="AQ225" s="139">
        <v>482</v>
      </c>
      <c r="AR225" s="114">
        <v>19</v>
      </c>
      <c r="AS225" s="152"/>
      <c r="AT225" s="138">
        <v>72</v>
      </c>
      <c r="AU225" s="191">
        <v>3784</v>
      </c>
      <c r="AV225" s="146"/>
      <c r="AW225" s="150">
        <v>3.2860635696821516</v>
      </c>
      <c r="AX225" s="150">
        <v>23.9</v>
      </c>
      <c r="AY225" s="151">
        <v>-943</v>
      </c>
      <c r="AZ225" s="152"/>
      <c r="BA225" s="152"/>
      <c r="BB225" s="152"/>
      <c r="BC225" s="150">
        <v>73.4</v>
      </c>
      <c r="BD225" s="151">
        <v>367</v>
      </c>
      <c r="BE225" s="151">
        <v>19</v>
      </c>
      <c r="BF225" s="154">
        <v>7206.9238900634255</v>
      </c>
      <c r="BG225" s="146">
        <v>6329</v>
      </c>
      <c r="BH225" s="139">
        <v>3070</v>
      </c>
      <c r="BI225" s="139">
        <v>23266</v>
      </c>
      <c r="BJ225" s="139">
        <v>-20196</v>
      </c>
      <c r="BK225" s="146">
        <v>11458</v>
      </c>
      <c r="BL225" s="146">
        <v>11372</v>
      </c>
      <c r="BM225" s="160"/>
      <c r="BO225" s="138">
        <v>-100</v>
      </c>
      <c r="BP225" s="138">
        <v>36</v>
      </c>
      <c r="BQ225" s="139">
        <v>2570</v>
      </c>
      <c r="BR225" s="138">
        <v>1154</v>
      </c>
      <c r="BU225" s="139">
        <v>1416</v>
      </c>
      <c r="BV225" s="138">
        <v>28</v>
      </c>
      <c r="BW225" s="138">
        <v>-1250</v>
      </c>
      <c r="BY225" s="138">
        <v>194</v>
      </c>
      <c r="BZ225" s="139">
        <v>6561</v>
      </c>
      <c r="CA225" s="139">
        <v>2896</v>
      </c>
      <c r="CB225" s="176"/>
      <c r="CC225" s="139">
        <v>1778</v>
      </c>
      <c r="CD225" s="151">
        <v>-700</v>
      </c>
      <c r="CE225" s="151">
        <v>89</v>
      </c>
      <c r="CF225" s="138">
        <v>11458</v>
      </c>
      <c r="CG225" s="139">
        <v>10530</v>
      </c>
      <c r="CH225" s="139">
        <v>453</v>
      </c>
      <c r="CI225" s="139">
        <v>475</v>
      </c>
      <c r="CJ225" s="114">
        <v>19</v>
      </c>
      <c r="CK225" s="152"/>
      <c r="CL225" s="138">
        <v>10</v>
      </c>
      <c r="CM225" s="190">
        <v>3682</v>
      </c>
      <c r="CN225" s="146"/>
      <c r="CO225" s="150">
        <v>3.077186963979417</v>
      </c>
      <c r="CP225" s="150">
        <v>22.431849975424402</v>
      </c>
      <c r="CQ225" s="151">
        <v>-952.1998913633895</v>
      </c>
      <c r="CR225" s="152"/>
      <c r="CS225" s="152"/>
      <c r="CT225" s="152"/>
      <c r="CU225" s="150">
        <v>71.74539062792176</v>
      </c>
      <c r="CV225" s="151">
        <v>411.1895708853884</v>
      </c>
      <c r="CW225" s="151">
        <v>20.05552732815562</v>
      </c>
      <c r="CX225" s="154">
        <v>7483.4329168929935</v>
      </c>
      <c r="CY225" s="146">
        <v>6667</v>
      </c>
      <c r="CZ225" s="139">
        <v>3568</v>
      </c>
      <c r="DA225" s="139">
        <v>24723</v>
      </c>
      <c r="DB225" s="139">
        <v>-21155</v>
      </c>
      <c r="DC225" s="146">
        <v>11081</v>
      </c>
      <c r="DD225" s="146">
        <v>11800</v>
      </c>
      <c r="DE225" s="160"/>
      <c r="DG225" s="138">
        <v>-64</v>
      </c>
      <c r="DH225" s="138">
        <v>50</v>
      </c>
      <c r="DI225" s="139">
        <v>1712</v>
      </c>
      <c r="DJ225" s="138">
        <v>1677</v>
      </c>
      <c r="DM225" s="139">
        <v>35</v>
      </c>
      <c r="DN225" s="138">
        <v>-1086</v>
      </c>
      <c r="DO225" s="138">
        <v>1150</v>
      </c>
      <c r="DQ225" s="138">
        <v>99</v>
      </c>
      <c r="DR225" s="139">
        <v>6660</v>
      </c>
      <c r="DS225" s="139">
        <v>2062</v>
      </c>
      <c r="DT225" s="176"/>
      <c r="DU225" s="139">
        <v>333</v>
      </c>
      <c r="DV225" s="151">
        <v>-500</v>
      </c>
      <c r="DW225" s="138">
        <v>168</v>
      </c>
      <c r="DX225" s="138">
        <v>11081</v>
      </c>
      <c r="DY225" s="146">
        <v>10046</v>
      </c>
      <c r="DZ225" s="196">
        <v>529</v>
      </c>
      <c r="EA225" s="146">
        <v>506</v>
      </c>
      <c r="EB225" s="114">
        <v>19</v>
      </c>
      <c r="EC225" s="152"/>
      <c r="ED225" s="138">
        <v>67</v>
      </c>
      <c r="EE225" s="138">
        <v>14494</v>
      </c>
      <c r="EF225" s="138">
        <v>14851</v>
      </c>
      <c r="EG225" s="138">
        <v>15718</v>
      </c>
      <c r="EH225" s="138"/>
      <c r="EI225" s="138"/>
      <c r="EJ225" s="138"/>
      <c r="EK225" s="3">
        <v>-4544</v>
      </c>
      <c r="EL225" s="138">
        <v>1048</v>
      </c>
      <c r="EM225" s="138">
        <v>12</v>
      </c>
      <c r="EN225" s="3">
        <v>-3186</v>
      </c>
      <c r="EO225" s="138">
        <v>348</v>
      </c>
      <c r="EP225" s="138">
        <v>31</v>
      </c>
      <c r="EQ225" s="3">
        <v>-2247</v>
      </c>
      <c r="ES225" s="138">
        <v>353</v>
      </c>
      <c r="ET225" s="163">
        <v>1900</v>
      </c>
      <c r="EU225" s="163">
        <v>-203</v>
      </c>
      <c r="EV225" s="138">
        <v>200</v>
      </c>
      <c r="EW225" s="138">
        <v>-597</v>
      </c>
      <c r="EX225" s="138"/>
      <c r="EY225" s="138"/>
      <c r="EZ225" s="138">
        <v>5197</v>
      </c>
      <c r="FA225" s="138">
        <v>4100</v>
      </c>
      <c r="FB225" s="138">
        <v>1097</v>
      </c>
      <c r="FC225" s="138">
        <v>36</v>
      </c>
      <c r="FD225" s="138">
        <v>4100</v>
      </c>
      <c r="FE225" s="138">
        <v>3600</v>
      </c>
      <c r="FF225" s="138">
        <v>500</v>
      </c>
      <c r="FG225" s="138">
        <v>36</v>
      </c>
      <c r="FH225" s="138">
        <v>3600</v>
      </c>
      <c r="FI225" s="138">
        <v>3100</v>
      </c>
      <c r="FJ225" s="138">
        <v>500</v>
      </c>
      <c r="FK225" s="138">
        <v>36</v>
      </c>
      <c r="FL225" s="147">
        <v>2782</v>
      </c>
      <c r="FM225" s="147">
        <v>2660.676532769556</v>
      </c>
      <c r="FO225" s="181">
        <f t="shared" si="9"/>
        <v>528.7368421052631</v>
      </c>
      <c r="FP225" s="179">
        <f t="shared" si="11"/>
        <v>143.60044598187483</v>
      </c>
      <c r="FR225" s="184"/>
      <c r="FV225" s="184">
        <v>500</v>
      </c>
      <c r="FW225" s="2">
        <f t="shared" si="10"/>
        <v>-500</v>
      </c>
    </row>
    <row r="226" spans="1:179" ht="12.75">
      <c r="A226" s="82">
        <v>691</v>
      </c>
      <c r="B226" s="80" t="s">
        <v>217</v>
      </c>
      <c r="C226" s="191">
        <v>2996</v>
      </c>
      <c r="D226" s="146"/>
      <c r="E226" s="150">
        <v>0.33168009919404834</v>
      </c>
      <c r="F226" s="150">
        <v>74.9</v>
      </c>
      <c r="G226" s="151">
        <v>-3328</v>
      </c>
      <c r="H226" s="152"/>
      <c r="I226" s="152"/>
      <c r="J226" s="152"/>
      <c r="K226" s="150">
        <v>34.7</v>
      </c>
      <c r="L226" s="151">
        <v>2780</v>
      </c>
      <c r="M226" s="151">
        <v>107</v>
      </c>
      <c r="N226" s="154">
        <v>10971.628838451268</v>
      </c>
      <c r="O226" s="146">
        <v>9737</v>
      </c>
      <c r="P226" s="139">
        <v>8261</v>
      </c>
      <c r="Q226" s="139">
        <v>25058</v>
      </c>
      <c r="R226" s="139">
        <v>-16799</v>
      </c>
      <c r="S226" s="146">
        <v>7186</v>
      </c>
      <c r="T226" s="139">
        <v>10415</v>
      </c>
      <c r="U226" s="160"/>
      <c r="W226" s="138">
        <v>-310</v>
      </c>
      <c r="X226" s="138">
        <v>-66</v>
      </c>
      <c r="Y226" s="139">
        <v>426</v>
      </c>
      <c r="Z226" s="138">
        <v>611</v>
      </c>
      <c r="AA226" s="138">
        <v>137</v>
      </c>
      <c r="AC226" s="139">
        <v>-48</v>
      </c>
      <c r="AG226" s="139">
        <v>-48</v>
      </c>
      <c r="AH226" s="139">
        <v>1298</v>
      </c>
      <c r="AI226" s="139">
        <v>563</v>
      </c>
      <c r="AJ226" s="176"/>
      <c r="AK226" s="139">
        <v>-209</v>
      </c>
      <c r="AL226" s="151">
        <v>-1504</v>
      </c>
      <c r="AM226" s="151">
        <v>-359</v>
      </c>
      <c r="AN226" s="146">
        <v>7186</v>
      </c>
      <c r="AO226" s="139">
        <v>6444</v>
      </c>
      <c r="AP226" s="139">
        <v>387</v>
      </c>
      <c r="AQ226" s="139">
        <v>355</v>
      </c>
      <c r="AR226" s="114">
        <v>21</v>
      </c>
      <c r="AS226" s="152"/>
      <c r="AT226" s="138">
        <v>239</v>
      </c>
      <c r="AU226" s="191">
        <v>2961</v>
      </c>
      <c r="AV226" s="146"/>
      <c r="AW226" s="150">
        <v>-0.07763686978038974</v>
      </c>
      <c r="AX226" s="150">
        <v>80.9</v>
      </c>
      <c r="AY226" s="151">
        <v>-3722</v>
      </c>
      <c r="AZ226" s="152"/>
      <c r="BA226" s="152"/>
      <c r="BB226" s="152"/>
      <c r="BC226" s="150">
        <v>31</v>
      </c>
      <c r="BD226" s="151">
        <v>2920</v>
      </c>
      <c r="BE226" s="151">
        <v>104</v>
      </c>
      <c r="BF226" s="154">
        <v>11019.925700776765</v>
      </c>
      <c r="BG226" s="146">
        <v>10217</v>
      </c>
      <c r="BH226" s="139">
        <v>8575</v>
      </c>
      <c r="BI226" s="139">
        <v>26400</v>
      </c>
      <c r="BJ226" s="139">
        <v>-17825</v>
      </c>
      <c r="BK226" s="146">
        <v>7738</v>
      </c>
      <c r="BL226" s="146">
        <v>9237</v>
      </c>
      <c r="BM226" s="160"/>
      <c r="BO226" s="138">
        <v>-223</v>
      </c>
      <c r="BP226" s="138">
        <v>577</v>
      </c>
      <c r="BQ226" s="139">
        <v>-496</v>
      </c>
      <c r="BR226" s="138">
        <v>602</v>
      </c>
      <c r="BS226" s="138">
        <v>102</v>
      </c>
      <c r="BT226" s="138">
        <v>15</v>
      </c>
      <c r="BU226" s="139">
        <v>-1011</v>
      </c>
      <c r="BY226" s="138">
        <v>-1011</v>
      </c>
      <c r="BZ226" s="139">
        <v>287</v>
      </c>
      <c r="CA226" s="139">
        <v>-409</v>
      </c>
      <c r="CB226" s="176"/>
      <c r="CC226" s="139">
        <v>71</v>
      </c>
      <c r="CD226" s="151">
        <v>-2988</v>
      </c>
      <c r="CE226" s="151">
        <v>-1143</v>
      </c>
      <c r="CF226" s="138">
        <v>7738</v>
      </c>
      <c r="CG226" s="139">
        <v>7121</v>
      </c>
      <c r="CH226" s="139">
        <v>243</v>
      </c>
      <c r="CI226" s="139">
        <v>374</v>
      </c>
      <c r="CJ226" s="114">
        <v>21</v>
      </c>
      <c r="CK226" s="152"/>
      <c r="CL226" s="138">
        <v>296</v>
      </c>
      <c r="CM226" s="190">
        <v>2925</v>
      </c>
      <c r="CN226" s="146"/>
      <c r="CO226" s="150">
        <v>-0.043601651186790505</v>
      </c>
      <c r="CP226" s="150">
        <v>84.18124927569822</v>
      </c>
      <c r="CQ226" s="151">
        <v>-3881.025641025641</v>
      </c>
      <c r="CR226" s="152"/>
      <c r="CS226" s="152"/>
      <c r="CT226" s="152"/>
      <c r="CU226" s="150">
        <v>27.866847376946218</v>
      </c>
      <c r="CV226" s="151">
        <v>3283.4188034188032</v>
      </c>
      <c r="CW226" s="151">
        <v>111.84544700402017</v>
      </c>
      <c r="CX226" s="154">
        <v>10715.213675213676</v>
      </c>
      <c r="CY226" s="146">
        <v>10185</v>
      </c>
      <c r="CZ226" s="139">
        <v>8701</v>
      </c>
      <c r="DA226" s="139">
        <v>26612</v>
      </c>
      <c r="DB226" s="139">
        <v>-17911</v>
      </c>
      <c r="DC226" s="146">
        <v>7977</v>
      </c>
      <c r="DD226" s="146">
        <v>9209</v>
      </c>
      <c r="DE226" s="160"/>
      <c r="DG226" s="138">
        <v>-159</v>
      </c>
      <c r="DH226" s="138">
        <v>541</v>
      </c>
      <c r="DI226" s="139">
        <v>-343</v>
      </c>
      <c r="DJ226" s="138">
        <v>587</v>
      </c>
      <c r="DK226" s="138">
        <v>44</v>
      </c>
      <c r="DL226" s="138">
        <v>3</v>
      </c>
      <c r="DM226" s="139">
        <v>-889</v>
      </c>
      <c r="DQ226" s="138">
        <v>-889</v>
      </c>
      <c r="DR226" s="139">
        <v>-602</v>
      </c>
      <c r="DS226" s="139">
        <v>-302</v>
      </c>
      <c r="DT226" s="176"/>
      <c r="DU226" s="139">
        <v>175</v>
      </c>
      <c r="DV226" s="151">
        <v>-3702</v>
      </c>
      <c r="DW226" s="138">
        <v>-464</v>
      </c>
      <c r="DX226" s="138">
        <v>7977</v>
      </c>
      <c r="DY226" s="146">
        <v>7219</v>
      </c>
      <c r="DZ226" s="196">
        <v>262</v>
      </c>
      <c r="EA226" s="146">
        <v>496</v>
      </c>
      <c r="EB226" s="114">
        <v>21</v>
      </c>
      <c r="EC226" s="152"/>
      <c r="ED226" s="138">
        <v>297</v>
      </c>
      <c r="EE226" s="138">
        <v>13575</v>
      </c>
      <c r="EF226" s="138">
        <v>14522</v>
      </c>
      <c r="EG226" s="138">
        <v>14754</v>
      </c>
      <c r="EH226" s="138"/>
      <c r="EI226" s="138"/>
      <c r="EJ226" s="138"/>
      <c r="EK226" s="3">
        <v>-1096</v>
      </c>
      <c r="EL226" s="138">
        <v>163</v>
      </c>
      <c r="EM226" s="138">
        <v>11</v>
      </c>
      <c r="EN226" s="3">
        <v>-829</v>
      </c>
      <c r="EO226" s="138">
        <v>95</v>
      </c>
      <c r="EP226" s="138"/>
      <c r="EQ226" s="3">
        <v>-797</v>
      </c>
      <c r="ES226" s="138">
        <v>635</v>
      </c>
      <c r="ET226" s="163"/>
      <c r="EU226" s="163">
        <v>1540</v>
      </c>
      <c r="EV226" s="138">
        <v>4404</v>
      </c>
      <c r="EW226" s="138">
        <v>-512</v>
      </c>
      <c r="EX226" s="138">
        <v>4607</v>
      </c>
      <c r="EY226" s="138">
        <v>-1227</v>
      </c>
      <c r="EZ226" s="138">
        <v>16394</v>
      </c>
      <c r="FA226" s="138">
        <v>12904</v>
      </c>
      <c r="FB226" s="138">
        <v>3490</v>
      </c>
      <c r="FC226" s="138">
        <v>1252</v>
      </c>
      <c r="FD226" s="138">
        <v>17297</v>
      </c>
      <c r="FE226" s="138">
        <v>14319</v>
      </c>
      <c r="FF226" s="138">
        <v>2978</v>
      </c>
      <c r="FG226" s="138">
        <v>1229</v>
      </c>
      <c r="FH226" s="138">
        <v>16975</v>
      </c>
      <c r="FI226" s="138">
        <v>15224</v>
      </c>
      <c r="FJ226" s="138">
        <v>1751</v>
      </c>
      <c r="FK226" s="138">
        <v>1041</v>
      </c>
      <c r="FL226" s="147">
        <v>4671</v>
      </c>
      <c r="FM226" s="147">
        <v>6279.297534616684</v>
      </c>
      <c r="FO226" s="181">
        <f t="shared" si="9"/>
        <v>343.76190476190476</v>
      </c>
      <c r="FP226" s="179">
        <f t="shared" si="11"/>
        <v>117.52543752543752</v>
      </c>
      <c r="FR226" s="184"/>
      <c r="FV226" s="184">
        <v>1504</v>
      </c>
      <c r="FW226" s="2">
        <f t="shared" si="10"/>
        <v>-1504</v>
      </c>
    </row>
    <row r="227" spans="1:179" ht="12.75">
      <c r="A227" s="82">
        <v>694</v>
      </c>
      <c r="B227" s="80" t="s">
        <v>218</v>
      </c>
      <c r="C227" s="191">
        <v>29018</v>
      </c>
      <c r="D227" s="146"/>
      <c r="E227" s="150">
        <v>0.465713986599665</v>
      </c>
      <c r="F227" s="150">
        <v>69.6</v>
      </c>
      <c r="G227" s="151">
        <v>-3520</v>
      </c>
      <c r="H227" s="152"/>
      <c r="I227" s="152"/>
      <c r="J227" s="152"/>
      <c r="K227" s="150">
        <v>39.6</v>
      </c>
      <c r="L227" s="151">
        <v>147</v>
      </c>
      <c r="M227" s="151">
        <v>8</v>
      </c>
      <c r="N227" s="154">
        <v>5554.552346819215</v>
      </c>
      <c r="O227" s="146">
        <v>61570</v>
      </c>
      <c r="P227" s="139">
        <v>26222</v>
      </c>
      <c r="Q227" s="139">
        <v>155934</v>
      </c>
      <c r="R227" s="139">
        <v>-129712</v>
      </c>
      <c r="S227" s="146">
        <v>103738</v>
      </c>
      <c r="T227" s="139">
        <v>36239</v>
      </c>
      <c r="U227" s="160"/>
      <c r="W227" s="138">
        <v>-2528</v>
      </c>
      <c r="X227" s="138">
        <v>829</v>
      </c>
      <c r="Y227" s="139">
        <v>8566</v>
      </c>
      <c r="Z227" s="138">
        <v>9685</v>
      </c>
      <c r="AC227" s="139">
        <v>-1119</v>
      </c>
      <c r="AD227" s="138">
        <v>66</v>
      </c>
      <c r="AF227" s="138">
        <v>350</v>
      </c>
      <c r="AG227" s="139">
        <v>-703</v>
      </c>
      <c r="AH227" s="139">
        <v>5925</v>
      </c>
      <c r="AI227" s="139">
        <v>6367</v>
      </c>
      <c r="AJ227" s="176"/>
      <c r="AK227" s="138">
        <v>-1158</v>
      </c>
      <c r="AL227" s="151">
        <v>-18773</v>
      </c>
      <c r="AM227" s="151">
        <v>-3934</v>
      </c>
      <c r="AN227" s="146">
        <v>103738</v>
      </c>
      <c r="AO227" s="139">
        <v>90304</v>
      </c>
      <c r="AP227" s="139">
        <v>6917</v>
      </c>
      <c r="AQ227" s="139">
        <v>6517</v>
      </c>
      <c r="AR227" s="114">
        <v>19.75</v>
      </c>
      <c r="AS227" s="152"/>
      <c r="AT227" s="138">
        <v>128</v>
      </c>
      <c r="AU227" s="191">
        <v>29215</v>
      </c>
      <c r="AV227" s="146"/>
      <c r="AW227" s="150">
        <v>0.4171305142477362</v>
      </c>
      <c r="AX227" s="150">
        <v>72.2</v>
      </c>
      <c r="AY227" s="151">
        <v>-3667</v>
      </c>
      <c r="AZ227" s="152"/>
      <c r="BA227" s="152"/>
      <c r="BB227" s="152"/>
      <c r="BC227" s="150">
        <v>38.6</v>
      </c>
      <c r="BD227" s="151">
        <v>267</v>
      </c>
      <c r="BE227" s="151">
        <v>14</v>
      </c>
      <c r="BF227" s="154">
        <v>6890.980660619544</v>
      </c>
      <c r="BG227" s="146">
        <v>64461</v>
      </c>
      <c r="BH227" s="139">
        <v>27812</v>
      </c>
      <c r="BI227" s="139">
        <v>163494</v>
      </c>
      <c r="BJ227" s="139">
        <v>-135682</v>
      </c>
      <c r="BK227" s="146">
        <v>107591</v>
      </c>
      <c r="BL227" s="146">
        <v>37404</v>
      </c>
      <c r="BM227" s="160"/>
      <c r="BO227" s="138">
        <v>-2131</v>
      </c>
      <c r="BP227" s="138">
        <v>634</v>
      </c>
      <c r="BQ227" s="139">
        <v>7816</v>
      </c>
      <c r="BR227" s="138">
        <v>6929</v>
      </c>
      <c r="BT227" s="138">
        <v>15</v>
      </c>
      <c r="BU227" s="139">
        <v>872</v>
      </c>
      <c r="BV227" s="138">
        <v>47</v>
      </c>
      <c r="BX227" s="138">
        <v>300</v>
      </c>
      <c r="BY227" s="138">
        <v>1219</v>
      </c>
      <c r="BZ227" s="139">
        <v>7014</v>
      </c>
      <c r="CA227" s="139">
        <v>5645</v>
      </c>
      <c r="CB227" s="176"/>
      <c r="CC227" s="138">
        <v>-575</v>
      </c>
      <c r="CD227" s="151">
        <v>-21848</v>
      </c>
      <c r="CE227" s="151">
        <v>-4990</v>
      </c>
      <c r="CF227" s="138">
        <v>107591</v>
      </c>
      <c r="CG227" s="139">
        <v>95432</v>
      </c>
      <c r="CH227" s="139">
        <v>5513</v>
      </c>
      <c r="CI227" s="139">
        <v>6646</v>
      </c>
      <c r="CJ227" s="114">
        <v>19.75</v>
      </c>
      <c r="CK227" s="152"/>
      <c r="CL227" s="138">
        <v>73</v>
      </c>
      <c r="CM227" s="190">
        <v>29318</v>
      </c>
      <c r="CN227" s="146"/>
      <c r="CO227" s="150">
        <v>0.43011133962130343</v>
      </c>
      <c r="CP227" s="150">
        <v>75.36684990910882</v>
      </c>
      <c r="CQ227" s="151">
        <v>-4260.658980830889</v>
      </c>
      <c r="CR227" s="152"/>
      <c r="CS227" s="152"/>
      <c r="CT227" s="152"/>
      <c r="CU227" s="150">
        <v>37.475193390304156</v>
      </c>
      <c r="CV227" s="151">
        <v>8.76594583532301</v>
      </c>
      <c r="CW227" s="151">
        <v>0.4094392988398384</v>
      </c>
      <c r="CX227" s="154">
        <v>7814.5166791732045</v>
      </c>
      <c r="CY227" s="146">
        <v>66600</v>
      </c>
      <c r="CZ227" s="139">
        <v>29891</v>
      </c>
      <c r="DA227" s="139">
        <v>171112</v>
      </c>
      <c r="DB227" s="139">
        <v>-141221</v>
      </c>
      <c r="DC227" s="146">
        <v>115068</v>
      </c>
      <c r="DD227" s="146">
        <v>37677</v>
      </c>
      <c r="DE227" s="160"/>
      <c r="DG227" s="138">
        <v>-1690</v>
      </c>
      <c r="DH227" s="138">
        <v>572</v>
      </c>
      <c r="DI227" s="139">
        <v>10406</v>
      </c>
      <c r="DJ227" s="138">
        <v>6354</v>
      </c>
      <c r="DM227" s="139">
        <v>4052</v>
      </c>
      <c r="DN227" s="138">
        <v>47</v>
      </c>
      <c r="DP227" s="138">
        <v>-420</v>
      </c>
      <c r="DQ227" s="138">
        <v>3679</v>
      </c>
      <c r="DR227" s="139">
        <v>10555</v>
      </c>
      <c r="DS227" s="139">
        <v>6015</v>
      </c>
      <c r="DT227" s="176"/>
      <c r="DU227" s="138">
        <v>-2593</v>
      </c>
      <c r="DV227" s="151">
        <v>-26478</v>
      </c>
      <c r="DW227" s="138">
        <v>-17826</v>
      </c>
      <c r="DX227" s="138">
        <v>115068</v>
      </c>
      <c r="DY227" s="146">
        <v>100717</v>
      </c>
      <c r="DZ227" s="196">
        <v>6484</v>
      </c>
      <c r="EA227" s="146">
        <v>7867</v>
      </c>
      <c r="EB227" s="114">
        <v>19.75</v>
      </c>
      <c r="EC227" s="152"/>
      <c r="ED227" s="138">
        <v>111</v>
      </c>
      <c r="EE227" s="138">
        <v>72864</v>
      </c>
      <c r="EF227" s="138">
        <v>75991</v>
      </c>
      <c r="EG227" s="138">
        <v>80571</v>
      </c>
      <c r="EH227" s="138"/>
      <c r="EI227" s="138"/>
      <c r="EJ227" s="138"/>
      <c r="EK227" s="3">
        <v>-13623</v>
      </c>
      <c r="EL227" s="138">
        <v>906</v>
      </c>
      <c r="EM227" s="138">
        <v>2416</v>
      </c>
      <c r="EN227" s="3">
        <v>-13744</v>
      </c>
      <c r="EO227" s="138">
        <v>882</v>
      </c>
      <c r="EP227" s="138">
        <v>2227</v>
      </c>
      <c r="EQ227" s="3">
        <v>-29783</v>
      </c>
      <c r="ER227" s="138">
        <v>553</v>
      </c>
      <c r="ES227" s="138">
        <v>5389</v>
      </c>
      <c r="ET227" s="163">
        <v>14000</v>
      </c>
      <c r="EU227" s="163"/>
      <c r="EV227" s="138">
        <v>23400</v>
      </c>
      <c r="EW227" s="138">
        <v>3500</v>
      </c>
      <c r="EX227" s="138">
        <v>42000</v>
      </c>
      <c r="EY227" s="138">
        <v>-2490</v>
      </c>
      <c r="EZ227" s="138">
        <v>97600</v>
      </c>
      <c r="FA227" s="138">
        <v>76752</v>
      </c>
      <c r="FB227" s="138">
        <v>20848</v>
      </c>
      <c r="FC227" s="138">
        <v>30</v>
      </c>
      <c r="FD227" s="138">
        <v>102653</v>
      </c>
      <c r="FE227" s="138">
        <v>74375</v>
      </c>
      <c r="FF227" s="138">
        <v>28278</v>
      </c>
      <c r="FG227" s="138">
        <v>29</v>
      </c>
      <c r="FH227" s="138">
        <v>115684</v>
      </c>
      <c r="FI227" s="138">
        <v>85106</v>
      </c>
      <c r="FJ227" s="138">
        <v>30578</v>
      </c>
      <c r="FK227" s="138">
        <v>29</v>
      </c>
      <c r="FL227" s="147">
        <v>5003</v>
      </c>
      <c r="FM227" s="147">
        <v>5212.596269039877</v>
      </c>
      <c r="FO227" s="181">
        <f t="shared" si="9"/>
        <v>5099.594936708861</v>
      </c>
      <c r="FP227" s="179">
        <f t="shared" si="11"/>
        <v>173.94075096216866</v>
      </c>
      <c r="FR227" s="184"/>
      <c r="FV227" s="184">
        <v>18773</v>
      </c>
      <c r="FW227" s="2">
        <f t="shared" si="10"/>
        <v>-18773</v>
      </c>
    </row>
    <row r="228" spans="1:179" ht="12.75">
      <c r="A228" s="82">
        <v>697</v>
      </c>
      <c r="B228" s="80" t="s">
        <v>219</v>
      </c>
      <c r="C228" s="191">
        <v>1489</v>
      </c>
      <c r="D228" s="146"/>
      <c r="E228" s="150">
        <v>1.4360189573459716</v>
      </c>
      <c r="F228" s="150">
        <v>29.8</v>
      </c>
      <c r="G228" s="151">
        <v>-1410</v>
      </c>
      <c r="H228" s="152"/>
      <c r="I228" s="152"/>
      <c r="J228" s="152"/>
      <c r="K228" s="150">
        <v>62</v>
      </c>
      <c r="L228" s="151">
        <v>1011</v>
      </c>
      <c r="M228" s="151">
        <v>38</v>
      </c>
      <c r="N228" s="154">
        <v>11067.83075889859</v>
      </c>
      <c r="O228" s="146">
        <v>4658</v>
      </c>
      <c r="P228" s="139">
        <v>4282</v>
      </c>
      <c r="Q228" s="139">
        <v>13275</v>
      </c>
      <c r="R228" s="139">
        <v>-8993</v>
      </c>
      <c r="S228" s="146">
        <v>3985</v>
      </c>
      <c r="T228" s="139">
        <v>5621</v>
      </c>
      <c r="U228" s="160"/>
      <c r="W228" s="138">
        <v>-48</v>
      </c>
      <c r="X228" s="138">
        <v>23</v>
      </c>
      <c r="Y228" s="139">
        <v>588</v>
      </c>
      <c r="Z228" s="138">
        <v>331</v>
      </c>
      <c r="AC228" s="139">
        <v>257</v>
      </c>
      <c r="AD228" s="139">
        <v>-47</v>
      </c>
      <c r="AE228" s="139">
        <v>100</v>
      </c>
      <c r="AG228" s="139">
        <v>310</v>
      </c>
      <c r="AH228" s="139">
        <v>2141</v>
      </c>
      <c r="AI228" s="139">
        <v>806</v>
      </c>
      <c r="AJ228" s="176"/>
      <c r="AK228" s="139">
        <v>-84</v>
      </c>
      <c r="AL228" s="151">
        <v>-312</v>
      </c>
      <c r="AM228" s="151">
        <v>111</v>
      </c>
      <c r="AN228" s="146">
        <v>3985</v>
      </c>
      <c r="AO228" s="139">
        <v>2852</v>
      </c>
      <c r="AP228" s="139">
        <v>492</v>
      </c>
      <c r="AQ228" s="139">
        <v>641</v>
      </c>
      <c r="AR228" s="114">
        <v>19.75</v>
      </c>
      <c r="AS228" s="152"/>
      <c r="AT228" s="138">
        <v>76</v>
      </c>
      <c r="AU228" s="191">
        <v>1450</v>
      </c>
      <c r="AV228" s="146"/>
      <c r="AW228" s="150">
        <v>0.8086253369272237</v>
      </c>
      <c r="AX228" s="150">
        <v>31.6</v>
      </c>
      <c r="AY228" s="151">
        <v>-1935</v>
      </c>
      <c r="AZ228" s="152"/>
      <c r="BA228" s="152"/>
      <c r="BB228" s="152"/>
      <c r="BC228" s="150">
        <v>61.2</v>
      </c>
      <c r="BD228" s="151">
        <v>819</v>
      </c>
      <c r="BE228" s="151">
        <v>29</v>
      </c>
      <c r="BF228" s="154">
        <v>10291.03448275862</v>
      </c>
      <c r="BG228" s="146">
        <v>4619</v>
      </c>
      <c r="BH228" s="139">
        <v>4088</v>
      </c>
      <c r="BI228" s="139">
        <v>13837</v>
      </c>
      <c r="BJ228" s="139">
        <v>-9749</v>
      </c>
      <c r="BK228" s="146">
        <v>4007</v>
      </c>
      <c r="BL228" s="146">
        <v>6017</v>
      </c>
      <c r="BM228" s="160"/>
      <c r="BO228" s="138">
        <v>-38</v>
      </c>
      <c r="BP228" s="138">
        <v>14</v>
      </c>
      <c r="BQ228" s="139">
        <v>251</v>
      </c>
      <c r="BR228" s="138">
        <v>437</v>
      </c>
      <c r="BU228" s="139">
        <v>-186</v>
      </c>
      <c r="BV228" s="139">
        <v>-21</v>
      </c>
      <c r="BW228" s="139">
        <v>150</v>
      </c>
      <c r="BY228" s="138">
        <v>-57</v>
      </c>
      <c r="BZ228" s="139">
        <v>2084</v>
      </c>
      <c r="CA228" s="139">
        <v>-74</v>
      </c>
      <c r="CB228" s="176"/>
      <c r="CC228" s="139">
        <v>59</v>
      </c>
      <c r="CD228" s="151">
        <v>-322</v>
      </c>
      <c r="CE228" s="151">
        <v>-695</v>
      </c>
      <c r="CF228" s="138">
        <v>4007</v>
      </c>
      <c r="CG228" s="139">
        <v>3071</v>
      </c>
      <c r="CH228" s="139">
        <v>287</v>
      </c>
      <c r="CI228" s="139">
        <v>649</v>
      </c>
      <c r="CJ228" s="114">
        <v>19.75</v>
      </c>
      <c r="CK228" s="152"/>
      <c r="CL228" s="138">
        <v>134</v>
      </c>
      <c r="CM228" s="190">
        <v>1427</v>
      </c>
      <c r="CN228" s="146"/>
      <c r="CO228" s="150">
        <v>0.10204081632653061</v>
      </c>
      <c r="CP228" s="150">
        <v>45.78886547481476</v>
      </c>
      <c r="CQ228" s="151">
        <v>-3131.04414856342</v>
      </c>
      <c r="CR228" s="152"/>
      <c r="CS228" s="152"/>
      <c r="CT228" s="152"/>
      <c r="CU228" s="150">
        <v>49.350356740518215</v>
      </c>
      <c r="CV228" s="151">
        <v>1110.021023125438</v>
      </c>
      <c r="CW228" s="151">
        <v>33.23713710836447</v>
      </c>
      <c r="CX228" s="154">
        <v>12189.908899789769</v>
      </c>
      <c r="CY228" s="146">
        <v>4816</v>
      </c>
      <c r="CZ228" s="139">
        <v>4161</v>
      </c>
      <c r="DA228" s="139">
        <v>14692</v>
      </c>
      <c r="DB228" s="139">
        <v>-10531</v>
      </c>
      <c r="DC228" s="146">
        <v>4547</v>
      </c>
      <c r="DD228" s="146">
        <v>6003</v>
      </c>
      <c r="DE228" s="160"/>
      <c r="DG228" s="138">
        <v>-25</v>
      </c>
      <c r="DH228" s="138">
        <v>10</v>
      </c>
      <c r="DI228" s="139">
        <v>4</v>
      </c>
      <c r="DJ228" s="138">
        <v>502</v>
      </c>
      <c r="DM228" s="139">
        <v>-498</v>
      </c>
      <c r="DN228" s="139">
        <v>150</v>
      </c>
      <c r="DO228" s="139">
        <v>126</v>
      </c>
      <c r="DP228" s="138">
        <v>-150</v>
      </c>
      <c r="DQ228" s="138">
        <v>-372</v>
      </c>
      <c r="DR228" s="139">
        <v>1712</v>
      </c>
      <c r="DS228" s="139">
        <v>55</v>
      </c>
      <c r="DT228" s="176"/>
      <c r="DU228" s="139">
        <v>-213</v>
      </c>
      <c r="DV228" s="151">
        <v>-312</v>
      </c>
      <c r="DW228" s="138">
        <v>-1668</v>
      </c>
      <c r="DX228" s="138">
        <v>4547</v>
      </c>
      <c r="DY228" s="146">
        <v>3495</v>
      </c>
      <c r="DZ228" s="196">
        <v>362</v>
      </c>
      <c r="EA228" s="146">
        <v>690</v>
      </c>
      <c r="EB228" s="114">
        <v>21</v>
      </c>
      <c r="EC228" s="152"/>
      <c r="ED228" s="138">
        <v>275</v>
      </c>
      <c r="EE228" s="138">
        <v>7649</v>
      </c>
      <c r="EF228" s="138">
        <v>8176</v>
      </c>
      <c r="EG228" s="138">
        <v>8654</v>
      </c>
      <c r="EH228" s="138"/>
      <c r="EI228" s="138"/>
      <c r="EJ228" s="138"/>
      <c r="EK228" s="3">
        <v>-800</v>
      </c>
      <c r="EL228" s="138"/>
      <c r="EM228" s="138">
        <v>105</v>
      </c>
      <c r="EN228" s="3">
        <v>-703</v>
      </c>
      <c r="EO228" s="138">
        <v>49</v>
      </c>
      <c r="EP228" s="138">
        <v>33</v>
      </c>
      <c r="EQ228" s="3">
        <v>-2358</v>
      </c>
      <c r="ER228" s="138">
        <v>245</v>
      </c>
      <c r="ES228" s="138">
        <v>390</v>
      </c>
      <c r="ET228" s="163"/>
      <c r="EU228" s="163">
        <v>-6</v>
      </c>
      <c r="EV228" s="138"/>
      <c r="EW228" s="138">
        <v>500</v>
      </c>
      <c r="EX228" s="138">
        <v>1611</v>
      </c>
      <c r="EY228" s="138">
        <v>1100</v>
      </c>
      <c r="EZ228" s="138">
        <v>2925</v>
      </c>
      <c r="FA228" s="138">
        <v>2613</v>
      </c>
      <c r="FB228" s="138">
        <v>312</v>
      </c>
      <c r="FC228" s="138">
        <v>422</v>
      </c>
      <c r="FD228" s="138">
        <v>2934</v>
      </c>
      <c r="FE228" s="138">
        <v>2122</v>
      </c>
      <c r="FF228" s="138">
        <v>812</v>
      </c>
      <c r="FG228" s="138">
        <v>433</v>
      </c>
      <c r="FH228" s="138">
        <v>5333</v>
      </c>
      <c r="FI228" s="138">
        <v>3244</v>
      </c>
      <c r="FJ228" s="138">
        <v>2089</v>
      </c>
      <c r="FK228" s="138">
        <v>427</v>
      </c>
      <c r="FL228" s="147">
        <v>3183</v>
      </c>
      <c r="FM228" s="147">
        <v>3508.2758620689656</v>
      </c>
      <c r="FO228" s="181">
        <f t="shared" si="9"/>
        <v>166.42857142857142</v>
      </c>
      <c r="FP228" s="179">
        <f t="shared" si="11"/>
        <v>116.62829112023225</v>
      </c>
      <c r="FR228" s="184"/>
      <c r="FV228" s="184">
        <v>312</v>
      </c>
      <c r="FW228" s="2">
        <f t="shared" si="10"/>
        <v>-312</v>
      </c>
    </row>
    <row r="229" spans="1:179" ht="12.75">
      <c r="A229" s="82">
        <v>698</v>
      </c>
      <c r="B229" s="80" t="s">
        <v>220</v>
      </c>
      <c r="C229" s="191">
        <v>60637</v>
      </c>
      <c r="D229" s="146"/>
      <c r="E229" s="150">
        <v>1.3816877431906616</v>
      </c>
      <c r="F229" s="150">
        <v>37.7</v>
      </c>
      <c r="G229" s="151">
        <v>-1557</v>
      </c>
      <c r="H229" s="152"/>
      <c r="I229" s="152"/>
      <c r="J229" s="152"/>
      <c r="K229" s="150">
        <v>65.4</v>
      </c>
      <c r="L229" s="151">
        <v>333</v>
      </c>
      <c r="M229" s="151">
        <v>20</v>
      </c>
      <c r="N229" s="154">
        <v>5690.073717367284</v>
      </c>
      <c r="O229" s="146">
        <v>150199</v>
      </c>
      <c r="P229" s="139">
        <v>66278</v>
      </c>
      <c r="Q229" s="139">
        <v>347846</v>
      </c>
      <c r="R229" s="139">
        <v>-281568</v>
      </c>
      <c r="S229" s="146">
        <v>204419</v>
      </c>
      <c r="T229" s="139">
        <v>85043</v>
      </c>
      <c r="U229" s="160"/>
      <c r="W229" s="138">
        <v>1304</v>
      </c>
      <c r="X229" s="138">
        <v>2110</v>
      </c>
      <c r="Y229" s="139">
        <v>11308</v>
      </c>
      <c r="Z229" s="138">
        <v>13572</v>
      </c>
      <c r="AA229" s="139"/>
      <c r="AB229" s="139"/>
      <c r="AC229" s="139">
        <v>-2264</v>
      </c>
      <c r="AD229" s="139">
        <v>96</v>
      </c>
      <c r="AG229" s="139">
        <v>-2168</v>
      </c>
      <c r="AH229" s="139">
        <v>16319</v>
      </c>
      <c r="AI229" s="139">
        <v>10161</v>
      </c>
      <c r="AJ229" s="176"/>
      <c r="AK229" s="139">
        <v>-4702</v>
      </c>
      <c r="AL229" s="151">
        <v>-8169</v>
      </c>
      <c r="AM229" s="151">
        <v>-8701</v>
      </c>
      <c r="AN229" s="146">
        <v>204419</v>
      </c>
      <c r="AO229" s="139">
        <v>172787</v>
      </c>
      <c r="AP229" s="139">
        <v>9643</v>
      </c>
      <c r="AQ229" s="139">
        <v>21989</v>
      </c>
      <c r="AR229" s="114">
        <v>20</v>
      </c>
      <c r="AS229" s="152"/>
      <c r="AT229" s="138">
        <v>210</v>
      </c>
      <c r="AU229" s="191">
        <v>60877</v>
      </c>
      <c r="AV229" s="146"/>
      <c r="AW229" s="150">
        <v>0.07781293256871663</v>
      </c>
      <c r="AX229" s="150">
        <v>39.3</v>
      </c>
      <c r="AY229" s="151">
        <v>-1840</v>
      </c>
      <c r="AZ229" s="152"/>
      <c r="BA229" s="152"/>
      <c r="BB229" s="152"/>
      <c r="BC229" s="150">
        <v>62.2</v>
      </c>
      <c r="BD229" s="151">
        <v>222</v>
      </c>
      <c r="BE229" s="151">
        <v>12</v>
      </c>
      <c r="BF229" s="154">
        <v>6500.188905497971</v>
      </c>
      <c r="BG229" s="146">
        <v>156157</v>
      </c>
      <c r="BH229" s="139">
        <v>72077</v>
      </c>
      <c r="BI229" s="139">
        <v>374691</v>
      </c>
      <c r="BJ229" s="139">
        <v>-302614</v>
      </c>
      <c r="BK229" s="146">
        <v>208113</v>
      </c>
      <c r="BL229" s="146">
        <v>89109</v>
      </c>
      <c r="BM229" s="160"/>
      <c r="BO229" s="138">
        <v>1491</v>
      </c>
      <c r="BP229" s="138">
        <v>2649</v>
      </c>
      <c r="BQ229" s="139">
        <v>-1252</v>
      </c>
      <c r="BR229" s="138">
        <v>13581</v>
      </c>
      <c r="BS229" s="139"/>
      <c r="BT229" s="139"/>
      <c r="BU229" s="139">
        <v>-14833</v>
      </c>
      <c r="BV229" s="139">
        <v>69</v>
      </c>
      <c r="BW229" s="138">
        <v>-1078</v>
      </c>
      <c r="BY229" s="138">
        <v>-15842</v>
      </c>
      <c r="BZ229" s="139">
        <v>37477</v>
      </c>
      <c r="CA229" s="139">
        <v>-3953</v>
      </c>
      <c r="CB229" s="176"/>
      <c r="CC229" s="139">
        <v>-18</v>
      </c>
      <c r="CD229" s="151">
        <v>-8075</v>
      </c>
      <c r="CE229" s="151">
        <v>-17703</v>
      </c>
      <c r="CF229" s="138">
        <v>208113</v>
      </c>
      <c r="CG229" s="139">
        <v>178653</v>
      </c>
      <c r="CH229" s="139">
        <v>6998</v>
      </c>
      <c r="CI229" s="139">
        <v>22462</v>
      </c>
      <c r="CJ229" s="114">
        <v>20</v>
      </c>
      <c r="CK229" s="152"/>
      <c r="CL229" s="138">
        <v>254</v>
      </c>
      <c r="CM229" s="190">
        <v>61215</v>
      </c>
      <c r="CN229" s="146"/>
      <c r="CO229" s="150">
        <v>1.4969014084507042</v>
      </c>
      <c r="CP229" s="150">
        <v>42.41777505776427</v>
      </c>
      <c r="CQ229" s="151">
        <v>-1874.752920035939</v>
      </c>
      <c r="CR229" s="152"/>
      <c r="CS229" s="152"/>
      <c r="CT229" s="152"/>
      <c r="CU229" s="150">
        <v>59.95119167587387</v>
      </c>
      <c r="CV229" s="151">
        <v>397.4516049987748</v>
      </c>
      <c r="CW229" s="151">
        <v>21.983923832534558</v>
      </c>
      <c r="CX229" s="154">
        <v>6598.905497018704</v>
      </c>
      <c r="CY229" s="146">
        <v>154686</v>
      </c>
      <c r="CZ229" s="139">
        <v>71975</v>
      </c>
      <c r="DA229" s="139">
        <v>380627</v>
      </c>
      <c r="DB229" s="139">
        <v>-308652</v>
      </c>
      <c r="DC229" s="146">
        <v>226514</v>
      </c>
      <c r="DD229" s="146">
        <v>92404</v>
      </c>
      <c r="DE229" s="160"/>
      <c r="DG229" s="138">
        <v>1519</v>
      </c>
      <c r="DH229" s="138">
        <v>2232</v>
      </c>
      <c r="DI229" s="139">
        <v>14017</v>
      </c>
      <c r="DJ229" s="138">
        <v>14237</v>
      </c>
      <c r="DK229" s="139">
        <v>10148</v>
      </c>
      <c r="DL229" s="139"/>
      <c r="DM229" s="139">
        <v>9928</v>
      </c>
      <c r="DN229" s="139">
        <v>-1066</v>
      </c>
      <c r="DO229" s="138">
        <v>-4050</v>
      </c>
      <c r="DP229" s="138">
        <v>-224</v>
      </c>
      <c r="DQ229" s="138">
        <v>4588</v>
      </c>
      <c r="DR229" s="139">
        <v>42066</v>
      </c>
      <c r="DS229" s="139">
        <v>12580</v>
      </c>
      <c r="DT229" s="176"/>
      <c r="DU229" s="139">
        <v>-7471</v>
      </c>
      <c r="DV229" s="151">
        <v>-8725</v>
      </c>
      <c r="DW229" s="138">
        <v>-3059</v>
      </c>
      <c r="DX229" s="138">
        <v>226514</v>
      </c>
      <c r="DY229" s="146">
        <v>194897</v>
      </c>
      <c r="DZ229" s="196">
        <v>7994</v>
      </c>
      <c r="EA229" s="146">
        <v>23623</v>
      </c>
      <c r="EB229" s="114">
        <v>20.5</v>
      </c>
      <c r="EC229" s="152"/>
      <c r="ED229" s="138">
        <v>182</v>
      </c>
      <c r="EE229" s="138">
        <v>143336</v>
      </c>
      <c r="EF229" s="138">
        <v>160569</v>
      </c>
      <c r="EG229" s="138">
        <v>167272</v>
      </c>
      <c r="EH229" s="138"/>
      <c r="EI229" s="138"/>
      <c r="EJ229" s="138"/>
      <c r="EK229" s="3">
        <v>-24385</v>
      </c>
      <c r="EL229" s="138">
        <v>4237</v>
      </c>
      <c r="EM229" s="138">
        <v>1286</v>
      </c>
      <c r="EN229" s="3">
        <v>-17450</v>
      </c>
      <c r="EO229" s="138">
        <v>679</v>
      </c>
      <c r="EP229" s="138">
        <v>3021</v>
      </c>
      <c r="EQ229" s="3">
        <v>-17825</v>
      </c>
      <c r="ER229" s="138">
        <v>825</v>
      </c>
      <c r="ES229" s="138">
        <v>1361</v>
      </c>
      <c r="ET229" s="163"/>
      <c r="EU229" s="163">
        <v>5000</v>
      </c>
      <c r="EV229" s="138">
        <v>15000</v>
      </c>
      <c r="EW229" s="138">
        <v>-5000</v>
      </c>
      <c r="EX229" s="138">
        <v>30000</v>
      </c>
      <c r="EY229" s="138"/>
      <c r="EZ229" s="138">
        <v>72149</v>
      </c>
      <c r="FA229" s="138">
        <v>59574</v>
      </c>
      <c r="FB229" s="138">
        <v>12575</v>
      </c>
      <c r="FC229" s="138">
        <v>61417</v>
      </c>
      <c r="FD229" s="138">
        <v>74074</v>
      </c>
      <c r="FE229" s="138">
        <v>66057</v>
      </c>
      <c r="FF229" s="138">
        <v>8017</v>
      </c>
      <c r="FG229" s="138">
        <v>61455</v>
      </c>
      <c r="FH229" s="138">
        <v>95349</v>
      </c>
      <c r="FI229" s="138">
        <v>86384</v>
      </c>
      <c r="FJ229" s="138">
        <v>8965</v>
      </c>
      <c r="FK229" s="138">
        <v>61427</v>
      </c>
      <c r="FL229" s="147">
        <v>2282</v>
      </c>
      <c r="FM229" s="147">
        <v>2200.43694663009</v>
      </c>
      <c r="FO229" s="181">
        <f t="shared" si="9"/>
        <v>9507.170731707318</v>
      </c>
      <c r="FP229" s="179">
        <f t="shared" si="11"/>
        <v>155.30786133639333</v>
      </c>
      <c r="FR229" s="184"/>
      <c r="FV229" s="184">
        <v>8169</v>
      </c>
      <c r="FW229" s="2">
        <f t="shared" si="10"/>
        <v>-8169</v>
      </c>
    </row>
    <row r="230" spans="1:179" ht="12.75">
      <c r="A230" s="82">
        <v>700</v>
      </c>
      <c r="B230" s="80" t="s">
        <v>221</v>
      </c>
      <c r="C230" s="191">
        <v>5595</v>
      </c>
      <c r="D230" s="146"/>
      <c r="E230" s="150">
        <v>1.1998527788001472</v>
      </c>
      <c r="F230" s="150">
        <v>34.4</v>
      </c>
      <c r="G230" s="151">
        <v>-1119</v>
      </c>
      <c r="H230" s="152"/>
      <c r="I230" s="152"/>
      <c r="J230" s="152"/>
      <c r="K230" s="150">
        <v>66.5</v>
      </c>
      <c r="L230" s="151">
        <v>389</v>
      </c>
      <c r="M230" s="151">
        <v>23</v>
      </c>
      <c r="N230" s="154">
        <v>11489.544235924934</v>
      </c>
      <c r="O230" s="146">
        <v>7429</v>
      </c>
      <c r="P230" s="139">
        <v>5412</v>
      </c>
      <c r="Q230" s="139">
        <v>31509</v>
      </c>
      <c r="R230" s="139">
        <v>-26097</v>
      </c>
      <c r="S230" s="146">
        <v>17409</v>
      </c>
      <c r="T230" s="139">
        <v>9793</v>
      </c>
      <c r="U230" s="160"/>
      <c r="W230" s="138">
        <v>-128</v>
      </c>
      <c r="X230" s="138">
        <v>15</v>
      </c>
      <c r="Y230" s="139">
        <v>992</v>
      </c>
      <c r="Z230" s="138">
        <v>1066</v>
      </c>
      <c r="AC230" s="139">
        <v>-74</v>
      </c>
      <c r="AD230" s="139">
        <v>-1409</v>
      </c>
      <c r="AE230" s="139">
        <v>1600</v>
      </c>
      <c r="AG230" s="139">
        <v>117</v>
      </c>
      <c r="AH230" s="139">
        <v>6606</v>
      </c>
      <c r="AI230" s="139">
        <v>809</v>
      </c>
      <c r="AJ230" s="176"/>
      <c r="AK230" s="139">
        <v>507</v>
      </c>
      <c r="AL230" s="151">
        <v>-449</v>
      </c>
      <c r="AM230" s="151">
        <v>-1059</v>
      </c>
      <c r="AN230" s="146">
        <v>17409</v>
      </c>
      <c r="AO230" s="139">
        <v>14609</v>
      </c>
      <c r="AP230" s="139">
        <v>1619</v>
      </c>
      <c r="AQ230" s="139">
        <v>1181</v>
      </c>
      <c r="AR230" s="114">
        <v>18.5</v>
      </c>
      <c r="AS230" s="152"/>
      <c r="AT230" s="138">
        <v>215</v>
      </c>
      <c r="AU230" s="191">
        <v>5577</v>
      </c>
      <c r="AV230" s="146"/>
      <c r="AW230" s="150">
        <v>1.2808219178082192</v>
      </c>
      <c r="AX230" s="150">
        <v>33</v>
      </c>
      <c r="AY230" s="151">
        <v>-1150</v>
      </c>
      <c r="AZ230" s="152"/>
      <c r="BA230" s="152"/>
      <c r="BB230" s="152"/>
      <c r="BC230" s="150">
        <v>66</v>
      </c>
      <c r="BD230" s="151">
        <v>436</v>
      </c>
      <c r="BE230" s="151">
        <v>26</v>
      </c>
      <c r="BF230" s="154">
        <v>6151.15653577192</v>
      </c>
      <c r="BG230" s="146">
        <v>7751</v>
      </c>
      <c r="BH230" s="139">
        <v>5449</v>
      </c>
      <c r="BI230" s="139">
        <v>32978</v>
      </c>
      <c r="BJ230" s="139">
        <v>-27529</v>
      </c>
      <c r="BK230" s="146">
        <v>17663</v>
      </c>
      <c r="BL230" s="146">
        <v>10771</v>
      </c>
      <c r="BM230" s="160"/>
      <c r="BO230" s="138">
        <v>-188</v>
      </c>
      <c r="BP230" s="138">
        <v>22</v>
      </c>
      <c r="BQ230" s="139">
        <v>739</v>
      </c>
      <c r="BR230" s="138">
        <v>1455</v>
      </c>
      <c r="BU230" s="139">
        <v>-716</v>
      </c>
      <c r="BV230" s="139">
        <v>70</v>
      </c>
      <c r="BW230" s="139"/>
      <c r="BY230" s="138">
        <v>-646</v>
      </c>
      <c r="BZ230" s="139">
        <v>6035</v>
      </c>
      <c r="CA230" s="139">
        <v>649</v>
      </c>
      <c r="CB230" s="176"/>
      <c r="CC230" s="139">
        <v>342</v>
      </c>
      <c r="CD230" s="151">
        <v>-534</v>
      </c>
      <c r="CE230" s="151">
        <v>59</v>
      </c>
      <c r="CF230" s="138">
        <v>17663</v>
      </c>
      <c r="CG230" s="139">
        <v>15274</v>
      </c>
      <c r="CH230" s="139">
        <v>1033</v>
      </c>
      <c r="CI230" s="139">
        <v>1356</v>
      </c>
      <c r="CJ230" s="114">
        <v>18.5</v>
      </c>
      <c r="CK230" s="152"/>
      <c r="CL230" s="138">
        <v>167</v>
      </c>
      <c r="CM230" s="190">
        <v>5507</v>
      </c>
      <c r="CN230" s="146"/>
      <c r="CO230" s="150">
        <v>4.078431372549019</v>
      </c>
      <c r="CP230" s="150">
        <v>29.467580390089616</v>
      </c>
      <c r="CQ230" s="151">
        <v>-900.8534592337026</v>
      </c>
      <c r="CR230" s="152"/>
      <c r="CS230" s="152"/>
      <c r="CT230" s="152"/>
      <c r="CU230" s="150">
        <v>68.03342752359767</v>
      </c>
      <c r="CV230" s="151">
        <v>669.5115307790085</v>
      </c>
      <c r="CW230" s="151">
        <v>37.98777733867781</v>
      </c>
      <c r="CX230" s="154">
        <v>6432.903577265298</v>
      </c>
      <c r="CY230" s="146">
        <v>7831</v>
      </c>
      <c r="CZ230" s="139">
        <v>5845</v>
      </c>
      <c r="DA230" s="139">
        <v>33210</v>
      </c>
      <c r="DB230" s="139">
        <v>-27365</v>
      </c>
      <c r="DC230" s="146">
        <v>19102</v>
      </c>
      <c r="DD230" s="146">
        <v>11096</v>
      </c>
      <c r="DE230" s="160"/>
      <c r="DG230" s="138">
        <v>-81</v>
      </c>
      <c r="DH230" s="138">
        <v>59</v>
      </c>
      <c r="DI230" s="139">
        <v>2811</v>
      </c>
      <c r="DJ230" s="138">
        <v>1922</v>
      </c>
      <c r="DM230" s="139">
        <v>889</v>
      </c>
      <c r="DN230" s="139">
        <v>102</v>
      </c>
      <c r="DO230" s="139">
        <v>-700</v>
      </c>
      <c r="DQ230" s="138">
        <v>291</v>
      </c>
      <c r="DR230" s="139">
        <v>6326</v>
      </c>
      <c r="DS230" s="139">
        <v>2657</v>
      </c>
      <c r="DT230" s="176"/>
      <c r="DU230" s="139">
        <v>344</v>
      </c>
      <c r="DV230" s="151">
        <v>-613</v>
      </c>
      <c r="DW230" s="138">
        <v>1459</v>
      </c>
      <c r="DX230" s="138">
        <v>19102</v>
      </c>
      <c r="DY230" s="146">
        <v>16348</v>
      </c>
      <c r="DZ230" s="196">
        <v>1425</v>
      </c>
      <c r="EA230" s="146">
        <v>1329</v>
      </c>
      <c r="EB230" s="114">
        <v>19.5</v>
      </c>
      <c r="EC230" s="152"/>
      <c r="ED230" s="138">
        <v>55</v>
      </c>
      <c r="EE230" s="138">
        <v>20845</v>
      </c>
      <c r="EF230" s="138">
        <v>21505</v>
      </c>
      <c r="EG230" s="138">
        <v>22077</v>
      </c>
      <c r="EH230" s="138"/>
      <c r="EI230" s="138"/>
      <c r="EJ230" s="138"/>
      <c r="EK230" s="3">
        <v>-2353</v>
      </c>
      <c r="EL230" s="138">
        <v>119</v>
      </c>
      <c r="EM230" s="138">
        <v>366</v>
      </c>
      <c r="EN230" s="3">
        <v>-596</v>
      </c>
      <c r="EO230" s="138"/>
      <c r="EP230" s="138">
        <v>6</v>
      </c>
      <c r="EQ230" s="3">
        <v>-1495</v>
      </c>
      <c r="ER230" s="138">
        <v>70</v>
      </c>
      <c r="ES230" s="138">
        <v>227</v>
      </c>
      <c r="ET230" s="163"/>
      <c r="EU230" s="163"/>
      <c r="EV230" s="138">
        <v>90</v>
      </c>
      <c r="EW230" s="138"/>
      <c r="EX230" s="138"/>
      <c r="EY230" s="138"/>
      <c r="EZ230" s="138">
        <v>8273</v>
      </c>
      <c r="FA230" s="138">
        <v>7745</v>
      </c>
      <c r="FB230" s="138">
        <v>528</v>
      </c>
      <c r="FC230" s="138">
        <v>45</v>
      </c>
      <c r="FD230" s="138">
        <v>7830</v>
      </c>
      <c r="FE230" s="138">
        <v>7289</v>
      </c>
      <c r="FF230" s="138">
        <v>541</v>
      </c>
      <c r="FG230" s="138">
        <v>45</v>
      </c>
      <c r="FH230" s="138">
        <v>7216</v>
      </c>
      <c r="FI230" s="138">
        <v>6688</v>
      </c>
      <c r="FJ230" s="138">
        <v>528</v>
      </c>
      <c r="FK230" s="138">
        <v>45</v>
      </c>
      <c r="FL230" s="147">
        <v>2542</v>
      </c>
      <c r="FM230" s="147">
        <v>2512.4618970772817</v>
      </c>
      <c r="FO230" s="181">
        <f t="shared" si="9"/>
        <v>838.3589743589744</v>
      </c>
      <c r="FP230" s="179">
        <f t="shared" si="11"/>
        <v>152.23515060086694</v>
      </c>
      <c r="FR230" s="184"/>
      <c r="FV230" s="184">
        <v>449</v>
      </c>
      <c r="FW230" s="2">
        <f t="shared" si="10"/>
        <v>-449</v>
      </c>
    </row>
    <row r="231" spans="1:179" ht="12.75">
      <c r="A231" s="82">
        <v>702</v>
      </c>
      <c r="B231" s="80" t="s">
        <v>222</v>
      </c>
      <c r="C231" s="191">
        <v>4940</v>
      </c>
      <c r="D231" s="146"/>
      <c r="E231" s="150">
        <v>0.1172950329144225</v>
      </c>
      <c r="F231" s="150">
        <v>39.1</v>
      </c>
      <c r="G231" s="151">
        <v>-1851</v>
      </c>
      <c r="H231" s="152"/>
      <c r="I231" s="152"/>
      <c r="J231" s="152"/>
      <c r="K231" s="150">
        <v>46.7</v>
      </c>
      <c r="L231" s="151">
        <v>627</v>
      </c>
      <c r="M231" s="151">
        <v>32</v>
      </c>
      <c r="N231" s="154">
        <v>7187.651821862348</v>
      </c>
      <c r="O231" s="146">
        <v>8601</v>
      </c>
      <c r="P231" s="139">
        <v>3960</v>
      </c>
      <c r="Q231" s="139">
        <v>32487</v>
      </c>
      <c r="R231" s="139">
        <v>-28527</v>
      </c>
      <c r="S231" s="146">
        <v>15342</v>
      </c>
      <c r="T231" s="139">
        <v>13251</v>
      </c>
      <c r="U231" s="160"/>
      <c r="W231" s="138">
        <v>-198</v>
      </c>
      <c r="X231" s="138">
        <v>136</v>
      </c>
      <c r="Y231" s="139">
        <v>4</v>
      </c>
      <c r="Z231" s="138">
        <v>913</v>
      </c>
      <c r="AC231" s="139">
        <v>-909</v>
      </c>
      <c r="AD231" s="139">
        <v>23</v>
      </c>
      <c r="AG231" s="139">
        <v>-886</v>
      </c>
      <c r="AH231" s="139">
        <v>-1022</v>
      </c>
      <c r="AI231" s="139">
        <v>-194</v>
      </c>
      <c r="AJ231" s="176"/>
      <c r="AK231" s="138">
        <v>213</v>
      </c>
      <c r="AL231" s="151">
        <v>-1479</v>
      </c>
      <c r="AM231" s="151">
        <v>-839</v>
      </c>
      <c r="AN231" s="146">
        <v>15342</v>
      </c>
      <c r="AO231" s="139">
        <v>12615</v>
      </c>
      <c r="AP231" s="139">
        <v>1386</v>
      </c>
      <c r="AQ231" s="139">
        <v>1341</v>
      </c>
      <c r="AR231" s="114">
        <v>20.5</v>
      </c>
      <c r="AS231" s="152"/>
      <c r="AT231" s="138">
        <v>287</v>
      </c>
      <c r="AU231" s="191">
        <v>4868</v>
      </c>
      <c r="AV231" s="146"/>
      <c r="AW231" s="150">
        <v>-0.20808625336927225</v>
      </c>
      <c r="AX231" s="150">
        <v>42.6</v>
      </c>
      <c r="AY231" s="151">
        <v>-2163</v>
      </c>
      <c r="AZ231" s="152"/>
      <c r="BA231" s="152"/>
      <c r="BB231" s="152"/>
      <c r="BC231" s="150">
        <v>42.2</v>
      </c>
      <c r="BD231" s="151">
        <v>573</v>
      </c>
      <c r="BE231" s="151">
        <v>28</v>
      </c>
      <c r="BF231" s="154">
        <v>7393.179950698439</v>
      </c>
      <c r="BG231" s="146">
        <v>8738</v>
      </c>
      <c r="BH231" s="139">
        <v>4069</v>
      </c>
      <c r="BI231" s="139">
        <v>32769</v>
      </c>
      <c r="BJ231" s="139">
        <v>-28700</v>
      </c>
      <c r="BK231" s="146">
        <v>14426</v>
      </c>
      <c r="BL231" s="146">
        <v>13831</v>
      </c>
      <c r="BM231" s="160"/>
      <c r="BO231" s="138">
        <v>-187</v>
      </c>
      <c r="BP231" s="138">
        <v>43</v>
      </c>
      <c r="BQ231" s="139">
        <v>-587</v>
      </c>
      <c r="BR231" s="138">
        <v>893</v>
      </c>
      <c r="BS231" s="138">
        <v>355</v>
      </c>
      <c r="BU231" s="139">
        <v>-1125</v>
      </c>
      <c r="BV231" s="139">
        <v>23</v>
      </c>
      <c r="BY231" s="138">
        <v>-1102</v>
      </c>
      <c r="BZ231" s="139">
        <v>-2124</v>
      </c>
      <c r="CA231" s="139">
        <v>-330</v>
      </c>
      <c r="CB231" s="176"/>
      <c r="CC231" s="138">
        <v>58</v>
      </c>
      <c r="CD231" s="151">
        <v>-1654</v>
      </c>
      <c r="CE231" s="151">
        <v>-1304</v>
      </c>
      <c r="CF231" s="138">
        <v>14426</v>
      </c>
      <c r="CG231" s="139">
        <v>12132</v>
      </c>
      <c r="CH231" s="139">
        <v>898</v>
      </c>
      <c r="CI231" s="139">
        <v>1396</v>
      </c>
      <c r="CJ231" s="114">
        <v>20.5</v>
      </c>
      <c r="CK231" s="152"/>
      <c r="CL231" s="138">
        <v>285</v>
      </c>
      <c r="CM231" s="190">
        <v>4771</v>
      </c>
      <c r="CN231" s="146"/>
      <c r="CO231" s="150">
        <v>0.11684518013631938</v>
      </c>
      <c r="CP231" s="150">
        <v>43.12429612945291</v>
      </c>
      <c r="CQ231" s="151">
        <v>-2489.834416264934</v>
      </c>
      <c r="CR231" s="152"/>
      <c r="CS231" s="152"/>
      <c r="CT231" s="152"/>
      <c r="CU231" s="150">
        <v>38.63408939292862</v>
      </c>
      <c r="CV231" s="151">
        <v>307.06350869838604</v>
      </c>
      <c r="CW231" s="151">
        <v>14.277227458414547</v>
      </c>
      <c r="CX231" s="154">
        <v>7850.136239782017</v>
      </c>
      <c r="CY231" s="146">
        <v>8703</v>
      </c>
      <c r="CZ231" s="139">
        <v>3947</v>
      </c>
      <c r="DA231" s="139">
        <v>33573</v>
      </c>
      <c r="DB231" s="139">
        <v>-29626</v>
      </c>
      <c r="DC231" s="146">
        <v>15935</v>
      </c>
      <c r="DD231" s="146">
        <v>13860</v>
      </c>
      <c r="DE231" s="160"/>
      <c r="DG231" s="138">
        <v>-165</v>
      </c>
      <c r="DH231" s="138">
        <v>62</v>
      </c>
      <c r="DI231" s="139">
        <v>66</v>
      </c>
      <c r="DJ231" s="138">
        <v>1068</v>
      </c>
      <c r="DK231" s="138">
        <v>231</v>
      </c>
      <c r="DL231" s="138">
        <v>131</v>
      </c>
      <c r="DM231" s="139">
        <v>-902</v>
      </c>
      <c r="DN231" s="139">
        <v>32</v>
      </c>
      <c r="DQ231" s="138">
        <v>-870</v>
      </c>
      <c r="DR231" s="139">
        <v>-2994</v>
      </c>
      <c r="DS231" s="139">
        <v>162</v>
      </c>
      <c r="DT231" s="176"/>
      <c r="DU231" s="138">
        <v>-764</v>
      </c>
      <c r="DV231" s="151">
        <v>-1880</v>
      </c>
      <c r="DW231" s="138">
        <v>-1407</v>
      </c>
      <c r="DX231" s="138">
        <v>15935</v>
      </c>
      <c r="DY231" s="146">
        <v>13353</v>
      </c>
      <c r="DZ231" s="196">
        <v>1177</v>
      </c>
      <c r="EA231" s="146">
        <v>1405</v>
      </c>
      <c r="EB231" s="114">
        <v>21</v>
      </c>
      <c r="EC231" s="152"/>
      <c r="ED231" s="138">
        <v>270</v>
      </c>
      <c r="EE231" s="138">
        <v>21823</v>
      </c>
      <c r="EF231" s="138">
        <v>22001</v>
      </c>
      <c r="EG231" s="138">
        <v>22724</v>
      </c>
      <c r="EH231" s="138">
        <v>700</v>
      </c>
      <c r="EI231" s="138">
        <v>630</v>
      </c>
      <c r="EJ231" s="138"/>
      <c r="EK231" s="3">
        <v>-912</v>
      </c>
      <c r="EL231" s="138">
        <v>11</v>
      </c>
      <c r="EM231" s="138">
        <v>256</v>
      </c>
      <c r="EN231" s="3">
        <v>-1263</v>
      </c>
      <c r="EO231" s="138">
        <v>7</v>
      </c>
      <c r="EP231" s="138">
        <v>282</v>
      </c>
      <c r="EQ231" s="3">
        <v>-1824</v>
      </c>
      <c r="ER231" s="138">
        <v>247</v>
      </c>
      <c r="ES231" s="138">
        <v>8</v>
      </c>
      <c r="ET231" s="163">
        <v>3000</v>
      </c>
      <c r="EU231" s="163">
        <v>-5</v>
      </c>
      <c r="EV231" s="138">
        <v>3000</v>
      </c>
      <c r="EW231" s="138">
        <v>58</v>
      </c>
      <c r="EX231" s="138">
        <v>2000</v>
      </c>
      <c r="EY231" s="138">
        <v>1246</v>
      </c>
      <c r="EZ231" s="138">
        <v>9847</v>
      </c>
      <c r="FA231" s="138">
        <v>7357</v>
      </c>
      <c r="FB231" s="138">
        <v>2490</v>
      </c>
      <c r="FC231" s="138">
        <v>639</v>
      </c>
      <c r="FD231" s="138">
        <v>11252</v>
      </c>
      <c r="FE231" s="138">
        <v>8528</v>
      </c>
      <c r="FF231" s="138">
        <v>2724</v>
      </c>
      <c r="FG231" s="138">
        <v>599</v>
      </c>
      <c r="FH231" s="138">
        <v>12619</v>
      </c>
      <c r="FI231" s="138">
        <v>8777</v>
      </c>
      <c r="FJ231" s="138">
        <v>3842</v>
      </c>
      <c r="FK231" s="138">
        <v>563</v>
      </c>
      <c r="FL231" s="147">
        <v>2499</v>
      </c>
      <c r="FM231" s="147">
        <v>2731.5119145439603</v>
      </c>
      <c r="FO231" s="181">
        <f t="shared" si="9"/>
        <v>635.8571428571429</v>
      </c>
      <c r="FP231" s="179">
        <f t="shared" si="11"/>
        <v>133.27544390214692</v>
      </c>
      <c r="FR231" s="184"/>
      <c r="FV231" s="184">
        <v>1479</v>
      </c>
      <c r="FW231" s="2">
        <f t="shared" si="10"/>
        <v>-1479</v>
      </c>
    </row>
    <row r="232" spans="1:179" ht="12.75">
      <c r="A232" s="82">
        <v>704</v>
      </c>
      <c r="B232" s="80" t="s">
        <v>223</v>
      </c>
      <c r="C232" s="191">
        <v>5870</v>
      </c>
      <c r="D232" s="146"/>
      <c r="E232" s="150">
        <v>7.696891191709844</v>
      </c>
      <c r="F232" s="150">
        <v>29.4</v>
      </c>
      <c r="G232" s="151">
        <v>-606</v>
      </c>
      <c r="H232" s="152"/>
      <c r="I232" s="152"/>
      <c r="J232" s="152"/>
      <c r="K232" s="150">
        <v>77.5</v>
      </c>
      <c r="L232" s="151">
        <v>642</v>
      </c>
      <c r="M232" s="151">
        <v>47</v>
      </c>
      <c r="N232" s="154">
        <v>4999.659284497445</v>
      </c>
      <c r="O232" s="146">
        <v>8207</v>
      </c>
      <c r="P232" s="139">
        <v>5097</v>
      </c>
      <c r="Q232" s="139">
        <v>26864</v>
      </c>
      <c r="R232" s="139">
        <v>-21767</v>
      </c>
      <c r="S232" s="146">
        <v>18228</v>
      </c>
      <c r="T232" s="139">
        <v>6246</v>
      </c>
      <c r="U232" s="160"/>
      <c r="W232" s="138">
        <v>-36</v>
      </c>
      <c r="X232" s="138">
        <v>84</v>
      </c>
      <c r="Y232" s="139">
        <v>2755</v>
      </c>
      <c r="Z232" s="138">
        <v>1264</v>
      </c>
      <c r="AC232" s="139">
        <v>1491</v>
      </c>
      <c r="AD232" s="138">
        <v>19</v>
      </c>
      <c r="AG232" s="139">
        <v>1510</v>
      </c>
      <c r="AH232" s="139">
        <v>11598</v>
      </c>
      <c r="AI232" s="139">
        <v>1903</v>
      </c>
      <c r="AJ232" s="176"/>
      <c r="AK232" s="139">
        <v>-409</v>
      </c>
      <c r="AL232" s="151">
        <v>-170</v>
      </c>
      <c r="AM232" s="151">
        <v>948</v>
      </c>
      <c r="AN232" s="146">
        <v>18228</v>
      </c>
      <c r="AO232" s="139">
        <v>16439</v>
      </c>
      <c r="AP232" s="139">
        <v>1163</v>
      </c>
      <c r="AQ232" s="139">
        <v>626</v>
      </c>
      <c r="AR232" s="114">
        <v>18.25</v>
      </c>
      <c r="AS232" s="152"/>
      <c r="AT232" s="138">
        <v>47</v>
      </c>
      <c r="AU232" s="191">
        <v>5907</v>
      </c>
      <c r="AV232" s="146"/>
      <c r="AW232" s="150">
        <v>5.217821782178218</v>
      </c>
      <c r="AX232" s="150">
        <v>29.6</v>
      </c>
      <c r="AY232" s="151">
        <v>-954</v>
      </c>
      <c r="AZ232" s="152"/>
      <c r="BA232" s="152"/>
      <c r="BB232" s="152"/>
      <c r="BC232" s="150">
        <v>77.6</v>
      </c>
      <c r="BD232" s="151">
        <v>192</v>
      </c>
      <c r="BE232" s="151">
        <v>13</v>
      </c>
      <c r="BF232" s="154">
        <v>5260.876925681395</v>
      </c>
      <c r="BG232" s="146">
        <v>8634</v>
      </c>
      <c r="BH232" s="139">
        <v>4191</v>
      </c>
      <c r="BI232" s="139">
        <v>27750</v>
      </c>
      <c r="BJ232" s="139">
        <v>-23559</v>
      </c>
      <c r="BK232" s="146">
        <v>18543</v>
      </c>
      <c r="BL232" s="146">
        <v>6006</v>
      </c>
      <c r="BM232" s="160"/>
      <c r="BO232" s="138">
        <v>-21</v>
      </c>
      <c r="BP232" s="138">
        <v>53</v>
      </c>
      <c r="BQ232" s="139">
        <v>1022</v>
      </c>
      <c r="BR232" s="138">
        <v>1331</v>
      </c>
      <c r="BU232" s="139">
        <v>-309</v>
      </c>
      <c r="BV232" s="138">
        <v>19</v>
      </c>
      <c r="BY232" s="138">
        <v>-290</v>
      </c>
      <c r="BZ232" s="139">
        <v>11214</v>
      </c>
      <c r="CA232" s="139">
        <v>273</v>
      </c>
      <c r="CB232" s="176"/>
      <c r="CC232" s="139">
        <v>-387</v>
      </c>
      <c r="CD232" s="151">
        <v>-170</v>
      </c>
      <c r="CE232" s="151">
        <v>-1987</v>
      </c>
      <c r="CF232" s="138">
        <v>18543</v>
      </c>
      <c r="CG232" s="139">
        <v>16914</v>
      </c>
      <c r="CH232" s="139">
        <v>798</v>
      </c>
      <c r="CI232" s="139">
        <v>831</v>
      </c>
      <c r="CJ232" s="114">
        <v>18.25</v>
      </c>
      <c r="CK232" s="152"/>
      <c r="CL232" s="138">
        <v>135</v>
      </c>
      <c r="CM232" s="190">
        <v>5995</v>
      </c>
      <c r="CN232" s="146"/>
      <c r="CO232" s="150">
        <v>2.4812286689419794</v>
      </c>
      <c r="CP232" s="150">
        <v>37.91392948116369</v>
      </c>
      <c r="CQ232" s="151">
        <v>-1460.3836530442036</v>
      </c>
      <c r="CR232" s="152"/>
      <c r="CS232" s="152"/>
      <c r="CT232" s="152"/>
      <c r="CU232" s="150">
        <v>71.88264662992165</v>
      </c>
      <c r="CV232" s="151">
        <v>166.9724770642202</v>
      </c>
      <c r="CW232" s="151">
        <v>10.740027631617625</v>
      </c>
      <c r="CX232" s="154">
        <v>5674.562135112594</v>
      </c>
      <c r="CY232" s="146">
        <v>9009</v>
      </c>
      <c r="CZ232" s="139">
        <v>4377</v>
      </c>
      <c r="DA232" s="139">
        <v>29147</v>
      </c>
      <c r="DB232" s="139">
        <v>-24770</v>
      </c>
      <c r="DC232" s="146">
        <v>19603</v>
      </c>
      <c r="DD232" s="146">
        <v>5856</v>
      </c>
      <c r="DE232" s="160"/>
      <c r="DG232" s="138">
        <v>-29</v>
      </c>
      <c r="DH232" s="138">
        <v>34</v>
      </c>
      <c r="DI232" s="139">
        <v>694</v>
      </c>
      <c r="DJ232" s="138">
        <v>1409</v>
      </c>
      <c r="DM232" s="139">
        <v>-715</v>
      </c>
      <c r="DN232" s="138">
        <v>19</v>
      </c>
      <c r="DQ232" s="138">
        <v>-696</v>
      </c>
      <c r="DR232" s="139">
        <v>10518</v>
      </c>
      <c r="DS232" s="139">
        <v>-5</v>
      </c>
      <c r="DT232" s="176"/>
      <c r="DU232" s="139">
        <v>186</v>
      </c>
      <c r="DV232" s="151">
        <v>-260</v>
      </c>
      <c r="DW232" s="138">
        <v>-3118</v>
      </c>
      <c r="DX232" s="138">
        <v>19603</v>
      </c>
      <c r="DY232" s="146">
        <v>17929</v>
      </c>
      <c r="DZ232" s="196">
        <v>793</v>
      </c>
      <c r="EA232" s="146">
        <v>881</v>
      </c>
      <c r="EB232" s="114">
        <v>18.25</v>
      </c>
      <c r="EC232" s="152"/>
      <c r="ED232" s="138">
        <v>237</v>
      </c>
      <c r="EE232" s="138">
        <v>16198</v>
      </c>
      <c r="EF232" s="138">
        <v>16440</v>
      </c>
      <c r="EG232" s="138">
        <v>17529</v>
      </c>
      <c r="EH232" s="138"/>
      <c r="EI232" s="138"/>
      <c r="EJ232" s="138"/>
      <c r="EK232" s="3">
        <v>-1923</v>
      </c>
      <c r="EL232" s="138">
        <v>5</v>
      </c>
      <c r="EM232" s="138">
        <v>963</v>
      </c>
      <c r="EN232" s="3">
        <v>-3124</v>
      </c>
      <c r="EO232" s="138"/>
      <c r="EP232" s="138">
        <v>863</v>
      </c>
      <c r="EQ232" s="3">
        <v>-4579</v>
      </c>
      <c r="ER232" s="138">
        <v>674</v>
      </c>
      <c r="ES232" s="138">
        <v>792</v>
      </c>
      <c r="ET232" s="163"/>
      <c r="EU232" s="163">
        <v>-400</v>
      </c>
      <c r="EV232" s="138"/>
      <c r="EW232" s="138"/>
      <c r="EX232" s="138">
        <v>2200</v>
      </c>
      <c r="EY232" s="138">
        <v>400</v>
      </c>
      <c r="EZ232" s="138">
        <v>5050</v>
      </c>
      <c r="FA232" s="138">
        <v>1080</v>
      </c>
      <c r="FB232" s="138">
        <v>3970</v>
      </c>
      <c r="FC232" s="138">
        <v>87</v>
      </c>
      <c r="FD232" s="138">
        <v>4880</v>
      </c>
      <c r="FE232" s="138">
        <v>910</v>
      </c>
      <c r="FF232" s="138">
        <v>3970</v>
      </c>
      <c r="FG232" s="138">
        <v>87</v>
      </c>
      <c r="FH232" s="138">
        <v>7220</v>
      </c>
      <c r="FI232" s="138">
        <v>2670</v>
      </c>
      <c r="FJ232" s="138">
        <v>4550</v>
      </c>
      <c r="FK232" s="138">
        <v>87</v>
      </c>
      <c r="FL232" s="147">
        <v>1357</v>
      </c>
      <c r="FM232" s="147">
        <v>1408.3291010665314</v>
      </c>
      <c r="FO232" s="181">
        <f t="shared" si="9"/>
        <v>982.4109589041096</v>
      </c>
      <c r="FP232" s="179">
        <f t="shared" si="11"/>
        <v>163.87171958367134</v>
      </c>
      <c r="FR232" s="184"/>
      <c r="FV232" s="184">
        <v>170</v>
      </c>
      <c r="FW232" s="2">
        <f t="shared" si="10"/>
        <v>-170</v>
      </c>
    </row>
    <row r="233" spans="1:179" ht="12.75">
      <c r="A233" s="82">
        <v>707</v>
      </c>
      <c r="B233" s="80" t="s">
        <v>224</v>
      </c>
      <c r="C233" s="191">
        <v>2532</v>
      </c>
      <c r="D233" s="146"/>
      <c r="E233" s="150">
        <v>0.9169859514687101</v>
      </c>
      <c r="F233" s="150">
        <v>41.9</v>
      </c>
      <c r="G233" s="151">
        <v>-1283</v>
      </c>
      <c r="H233" s="152"/>
      <c r="I233" s="152"/>
      <c r="J233" s="152"/>
      <c r="K233" s="150">
        <v>39.2</v>
      </c>
      <c r="L233" s="151">
        <v>586</v>
      </c>
      <c r="M233" s="151">
        <v>27</v>
      </c>
      <c r="N233" s="154">
        <v>8279.225908372828</v>
      </c>
      <c r="O233" s="146">
        <v>3743</v>
      </c>
      <c r="P233" s="139">
        <v>4661</v>
      </c>
      <c r="Q233" s="139">
        <v>18799</v>
      </c>
      <c r="R233" s="139">
        <v>-14138</v>
      </c>
      <c r="S233" s="146">
        <v>5613</v>
      </c>
      <c r="T233" s="139">
        <v>9082</v>
      </c>
      <c r="U233" s="160"/>
      <c r="W233" s="138">
        <v>-74</v>
      </c>
      <c r="X233" s="138">
        <v>162</v>
      </c>
      <c r="Y233" s="139">
        <v>645</v>
      </c>
      <c r="Z233" s="138">
        <v>413</v>
      </c>
      <c r="AC233" s="139">
        <v>232</v>
      </c>
      <c r="AD233" s="139"/>
      <c r="AE233" s="139"/>
      <c r="AG233" s="139">
        <v>232</v>
      </c>
      <c r="AH233" s="139">
        <v>-1289</v>
      </c>
      <c r="AI233" s="139">
        <v>752</v>
      </c>
      <c r="AJ233" s="176"/>
      <c r="AK233" s="138">
        <v>-2496</v>
      </c>
      <c r="AL233" s="151">
        <v>-710</v>
      </c>
      <c r="AM233" s="151">
        <v>664</v>
      </c>
      <c r="AN233" s="146">
        <v>5613</v>
      </c>
      <c r="AO233" s="139">
        <v>4610</v>
      </c>
      <c r="AP233" s="139">
        <v>459</v>
      </c>
      <c r="AQ233" s="139">
        <v>544</v>
      </c>
      <c r="AR233" s="114">
        <v>21</v>
      </c>
      <c r="AS233" s="152"/>
      <c r="AT233" s="138">
        <v>162</v>
      </c>
      <c r="AU233" s="191">
        <v>2490</v>
      </c>
      <c r="AV233" s="146"/>
      <c r="AW233" s="150">
        <v>0.6567357512953368</v>
      </c>
      <c r="AX233" s="150">
        <v>27.1</v>
      </c>
      <c r="AY233" s="151">
        <v>-1203</v>
      </c>
      <c r="AZ233" s="152"/>
      <c r="BA233" s="152"/>
      <c r="BB233" s="152"/>
      <c r="BC233" s="150">
        <v>48.6</v>
      </c>
      <c r="BD233" s="151">
        <v>199</v>
      </c>
      <c r="BE233" s="151">
        <v>9</v>
      </c>
      <c r="BF233" s="154">
        <v>8486.345381526105</v>
      </c>
      <c r="BG233" s="146">
        <v>4349</v>
      </c>
      <c r="BH233" s="139">
        <v>5180</v>
      </c>
      <c r="BI233" s="139">
        <v>20168</v>
      </c>
      <c r="BJ233" s="139">
        <v>-14988</v>
      </c>
      <c r="BK233" s="146">
        <v>6009</v>
      </c>
      <c r="BL233" s="146">
        <v>9310</v>
      </c>
      <c r="BM233" s="160"/>
      <c r="BO233" s="138">
        <v>-57</v>
      </c>
      <c r="BP233" s="138">
        <v>171</v>
      </c>
      <c r="BQ233" s="139">
        <v>445</v>
      </c>
      <c r="BR233" s="138">
        <v>426</v>
      </c>
      <c r="BU233" s="139">
        <v>19</v>
      </c>
      <c r="BV233" s="139"/>
      <c r="BW233" s="139"/>
      <c r="BY233" s="138">
        <v>19</v>
      </c>
      <c r="BZ233" s="139">
        <v>-1268</v>
      </c>
      <c r="CA233" s="139">
        <v>398</v>
      </c>
      <c r="CB233" s="176"/>
      <c r="CC233" s="138">
        <v>1301</v>
      </c>
      <c r="CD233" s="151">
        <v>-710</v>
      </c>
      <c r="CE233" s="151">
        <v>260</v>
      </c>
      <c r="CF233" s="138">
        <v>6009</v>
      </c>
      <c r="CG233" s="139">
        <v>5188</v>
      </c>
      <c r="CH233" s="139">
        <v>284</v>
      </c>
      <c r="CI233" s="139">
        <v>537</v>
      </c>
      <c r="CJ233" s="114">
        <v>21</v>
      </c>
      <c r="CK233" s="152"/>
      <c r="CL233" s="138">
        <v>132</v>
      </c>
      <c r="CM233" s="190">
        <v>2467</v>
      </c>
      <c r="CN233" s="146"/>
      <c r="CO233" s="150">
        <v>0.025245441795231416</v>
      </c>
      <c r="CP233" s="150">
        <v>35.418881862443335</v>
      </c>
      <c r="CQ233" s="151">
        <v>-1739.7648966355898</v>
      </c>
      <c r="CR233" s="152"/>
      <c r="CS233" s="152"/>
      <c r="CT233" s="152"/>
      <c r="CU233" s="150">
        <v>41.03419516263553</v>
      </c>
      <c r="CV233" s="151">
        <v>224.969598702878</v>
      </c>
      <c r="CW233" s="151">
        <v>10.321767043717518</v>
      </c>
      <c r="CX233" s="154">
        <v>7955.411430887718</v>
      </c>
      <c r="CY233" s="146">
        <v>4208</v>
      </c>
      <c r="CZ233" s="139">
        <v>2935</v>
      </c>
      <c r="DA233" s="139">
        <v>18051</v>
      </c>
      <c r="DB233" s="139">
        <v>-15116</v>
      </c>
      <c r="DC233" s="146">
        <v>5909</v>
      </c>
      <c r="DD233" s="146">
        <v>9025</v>
      </c>
      <c r="DE233" s="160"/>
      <c r="DG233" s="138">
        <v>-31</v>
      </c>
      <c r="DH233" s="138">
        <v>196</v>
      </c>
      <c r="DI233" s="139">
        <v>-17</v>
      </c>
      <c r="DJ233" s="138">
        <v>451</v>
      </c>
      <c r="DM233" s="139">
        <v>-468</v>
      </c>
      <c r="DN233" s="139"/>
      <c r="DO233" s="139"/>
      <c r="DQ233" s="138">
        <v>-468</v>
      </c>
      <c r="DR233" s="139">
        <v>-2163</v>
      </c>
      <c r="DS233" s="139">
        <v>-31</v>
      </c>
      <c r="DT233" s="176"/>
      <c r="DU233" s="138">
        <v>605</v>
      </c>
      <c r="DV233" s="151">
        <v>-678</v>
      </c>
      <c r="DW233" s="138">
        <v>-854</v>
      </c>
      <c r="DX233" s="138">
        <v>5909</v>
      </c>
      <c r="DY233" s="146">
        <v>5033</v>
      </c>
      <c r="DZ233" s="196">
        <v>323</v>
      </c>
      <c r="EA233" s="146">
        <v>553</v>
      </c>
      <c r="EB233" s="114">
        <v>21</v>
      </c>
      <c r="EC233" s="152"/>
      <c r="ED233" s="138">
        <v>278</v>
      </c>
      <c r="EE233" s="138">
        <v>13288</v>
      </c>
      <c r="EF233" s="138">
        <v>13595</v>
      </c>
      <c r="EG233" s="138">
        <v>12389</v>
      </c>
      <c r="EH233" s="138">
        <v>400</v>
      </c>
      <c r="EI233" s="138"/>
      <c r="EJ233" s="138"/>
      <c r="EK233" s="3">
        <v>-166</v>
      </c>
      <c r="EL233" s="138"/>
      <c r="EM233" s="138">
        <v>78</v>
      </c>
      <c r="EN233" s="3">
        <v>-183</v>
      </c>
      <c r="EO233" s="138"/>
      <c r="EP233" s="138">
        <v>45</v>
      </c>
      <c r="EQ233" s="3">
        <v>-857</v>
      </c>
      <c r="ER233" s="138">
        <v>30</v>
      </c>
      <c r="ES233" s="138">
        <v>4</v>
      </c>
      <c r="ET233" s="163"/>
      <c r="EU233" s="163"/>
      <c r="EV233" s="138"/>
      <c r="EW233" s="138"/>
      <c r="EX233" s="138"/>
      <c r="EY233" s="138"/>
      <c r="EZ233" s="138">
        <v>2804</v>
      </c>
      <c r="FA233" s="138">
        <v>2094</v>
      </c>
      <c r="FB233" s="138">
        <v>710</v>
      </c>
      <c r="FC233" s="138">
        <v>103</v>
      </c>
      <c r="FD233" s="138">
        <v>2095</v>
      </c>
      <c r="FE233" s="138">
        <v>1417</v>
      </c>
      <c r="FF233" s="138">
        <v>678</v>
      </c>
      <c r="FG233" s="138">
        <v>93</v>
      </c>
      <c r="FH233" s="138">
        <v>1416</v>
      </c>
      <c r="FI233" s="138">
        <v>833</v>
      </c>
      <c r="FJ233" s="138">
        <v>583</v>
      </c>
      <c r="FK233" s="138">
        <v>93</v>
      </c>
      <c r="FL233" s="147">
        <v>2445</v>
      </c>
      <c r="FM233" s="147">
        <v>2165.461847389558</v>
      </c>
      <c r="FO233" s="181">
        <f t="shared" si="9"/>
        <v>239.66666666666666</v>
      </c>
      <c r="FP233" s="179">
        <f t="shared" si="11"/>
        <v>97.14903391433589</v>
      </c>
      <c r="FR233" s="184"/>
      <c r="FV233" s="184">
        <v>710</v>
      </c>
      <c r="FW233" s="2">
        <f t="shared" si="10"/>
        <v>-710</v>
      </c>
    </row>
    <row r="234" spans="1:179" ht="12.75">
      <c r="A234" s="82">
        <v>729</v>
      </c>
      <c r="B234" s="80" t="s">
        <v>225</v>
      </c>
      <c r="C234" s="191">
        <v>10380</v>
      </c>
      <c r="D234" s="146"/>
      <c r="E234" s="150">
        <v>1.1708715596330275</v>
      </c>
      <c r="F234" s="150">
        <v>50.7</v>
      </c>
      <c r="G234" s="151">
        <v>-2891</v>
      </c>
      <c r="H234" s="152"/>
      <c r="I234" s="152"/>
      <c r="J234" s="152"/>
      <c r="K234" s="150">
        <v>54.3</v>
      </c>
      <c r="L234" s="151">
        <v>43</v>
      </c>
      <c r="M234" s="151">
        <v>2</v>
      </c>
      <c r="N234" s="154">
        <v>6968.978805394991</v>
      </c>
      <c r="O234" s="146">
        <v>18670</v>
      </c>
      <c r="P234" s="139">
        <v>10876</v>
      </c>
      <c r="Q234" s="139">
        <v>61915</v>
      </c>
      <c r="R234" s="139">
        <v>-51039</v>
      </c>
      <c r="S234" s="146">
        <v>27199</v>
      </c>
      <c r="T234" s="139">
        <v>27826</v>
      </c>
      <c r="U234" s="160"/>
      <c r="W234" s="138">
        <v>-674</v>
      </c>
      <c r="X234" s="138">
        <v>43</v>
      </c>
      <c r="Y234" s="139">
        <v>3355</v>
      </c>
      <c r="Z234" s="138">
        <v>2691</v>
      </c>
      <c r="AC234" s="139">
        <v>664</v>
      </c>
      <c r="AD234" s="139"/>
      <c r="AE234" s="139"/>
      <c r="AF234" s="138">
        <v>-28</v>
      </c>
      <c r="AG234" s="139">
        <v>636</v>
      </c>
      <c r="AH234" s="139">
        <v>9810</v>
      </c>
      <c r="AI234" s="139">
        <v>2965</v>
      </c>
      <c r="AJ234" s="176"/>
      <c r="AK234" s="139">
        <v>237</v>
      </c>
      <c r="AL234" s="151">
        <v>-2759</v>
      </c>
      <c r="AM234" s="151">
        <v>-2853</v>
      </c>
      <c r="AN234" s="146">
        <v>27199</v>
      </c>
      <c r="AO234" s="139">
        <v>23149</v>
      </c>
      <c r="AP234" s="139">
        <v>1547</v>
      </c>
      <c r="AQ234" s="139">
        <v>2503</v>
      </c>
      <c r="AR234" s="114">
        <v>20</v>
      </c>
      <c r="AS234" s="152"/>
      <c r="AT234" s="138">
        <v>111</v>
      </c>
      <c r="AU234" s="191">
        <v>10258</v>
      </c>
      <c r="AV234" s="146"/>
      <c r="AW234" s="150">
        <v>0.4255277174985204</v>
      </c>
      <c r="AX234" s="150">
        <v>52.8</v>
      </c>
      <c r="AY234" s="151">
        <v>-3027</v>
      </c>
      <c r="AZ234" s="152"/>
      <c r="BA234" s="152"/>
      <c r="BB234" s="152"/>
      <c r="BC234" s="150">
        <v>52</v>
      </c>
      <c r="BD234" s="151">
        <v>127</v>
      </c>
      <c r="BE234" s="151">
        <v>7</v>
      </c>
      <c r="BF234" s="154">
        <v>7010.138428543576</v>
      </c>
      <c r="BG234" s="146">
        <v>19175</v>
      </c>
      <c r="BH234" s="139">
        <v>9987</v>
      </c>
      <c r="BI234" s="139">
        <v>64062</v>
      </c>
      <c r="BJ234" s="139">
        <v>-54075</v>
      </c>
      <c r="BK234" s="146">
        <v>27039</v>
      </c>
      <c r="BL234" s="146">
        <v>29157</v>
      </c>
      <c r="BM234" s="160"/>
      <c r="BO234" s="138">
        <v>-703</v>
      </c>
      <c r="BP234" s="138">
        <v>-13</v>
      </c>
      <c r="BQ234" s="139">
        <v>1405</v>
      </c>
      <c r="BR234" s="138">
        <v>3558</v>
      </c>
      <c r="BU234" s="139">
        <v>-2153</v>
      </c>
      <c r="BV234" s="139"/>
      <c r="BW234" s="139"/>
      <c r="BX234" s="138">
        <v>51</v>
      </c>
      <c r="BY234" s="138">
        <v>-2102</v>
      </c>
      <c r="BZ234" s="139">
        <v>7709</v>
      </c>
      <c r="CA234" s="139">
        <v>1154</v>
      </c>
      <c r="CB234" s="176"/>
      <c r="CC234" s="139">
        <v>430</v>
      </c>
      <c r="CD234" s="151">
        <v>-4317</v>
      </c>
      <c r="CE234" s="151">
        <v>-1035</v>
      </c>
      <c r="CF234" s="138">
        <v>27039</v>
      </c>
      <c r="CG234" s="139">
        <v>23510</v>
      </c>
      <c r="CH234" s="139">
        <v>1643</v>
      </c>
      <c r="CI234" s="139">
        <v>1886</v>
      </c>
      <c r="CJ234" s="114">
        <v>20</v>
      </c>
      <c r="CK234" s="152"/>
      <c r="CL234" s="138">
        <v>162</v>
      </c>
      <c r="CM234" s="190">
        <v>10165</v>
      </c>
      <c r="CN234" s="146"/>
      <c r="CO234" s="150">
        <v>0.9379061371841155</v>
      </c>
      <c r="CP234" s="150">
        <v>47.92443833618489</v>
      </c>
      <c r="CQ234" s="151">
        <v>-2949.3359567142156</v>
      </c>
      <c r="CR234" s="152"/>
      <c r="CS234" s="152"/>
      <c r="CT234" s="152"/>
      <c r="CU234" s="150">
        <v>51.58020525797835</v>
      </c>
      <c r="CV234" s="151">
        <v>184.55484505656668</v>
      </c>
      <c r="CW234" s="151">
        <v>9.192128013746443</v>
      </c>
      <c r="CX234" s="154">
        <v>7328.283325135268</v>
      </c>
      <c r="CY234" s="146">
        <v>19105</v>
      </c>
      <c r="CZ234" s="139">
        <v>12103</v>
      </c>
      <c r="DA234" s="139">
        <v>67464</v>
      </c>
      <c r="DB234" s="139">
        <v>-55361</v>
      </c>
      <c r="DC234" s="146">
        <v>29134</v>
      </c>
      <c r="DD234" s="146">
        <v>30069</v>
      </c>
      <c r="DE234" s="160"/>
      <c r="DG234" s="138">
        <v>-586</v>
      </c>
      <c r="DH234" s="138">
        <v>16</v>
      </c>
      <c r="DI234" s="139">
        <v>3272</v>
      </c>
      <c r="DJ234" s="138">
        <v>4860</v>
      </c>
      <c r="DM234" s="139">
        <v>-1588</v>
      </c>
      <c r="DN234" s="139"/>
      <c r="DO234" s="139"/>
      <c r="DP234" s="138">
        <v>3</v>
      </c>
      <c r="DQ234" s="138">
        <v>-1585</v>
      </c>
      <c r="DR234" s="139">
        <v>6461</v>
      </c>
      <c r="DS234" s="139">
        <v>3115</v>
      </c>
      <c r="DT234" s="176"/>
      <c r="DU234" s="139">
        <v>450</v>
      </c>
      <c r="DV234" s="151">
        <v>-3530</v>
      </c>
      <c r="DW234" s="138">
        <v>769</v>
      </c>
      <c r="DX234" s="138">
        <v>29134</v>
      </c>
      <c r="DY234" s="146">
        <v>25714</v>
      </c>
      <c r="DZ234" s="196">
        <v>1705</v>
      </c>
      <c r="EA234" s="146">
        <v>1715</v>
      </c>
      <c r="EB234" s="114">
        <v>21</v>
      </c>
      <c r="EC234" s="152"/>
      <c r="ED234" s="138">
        <v>130</v>
      </c>
      <c r="EE234" s="138">
        <v>38213</v>
      </c>
      <c r="EF234" s="138">
        <v>39626</v>
      </c>
      <c r="EG234" s="138">
        <v>43182</v>
      </c>
      <c r="EH234" s="138"/>
      <c r="EI234" s="138"/>
      <c r="EJ234" s="138"/>
      <c r="EK234" s="3">
        <v>-6375</v>
      </c>
      <c r="EL234" s="138">
        <v>186</v>
      </c>
      <c r="EM234" s="138">
        <v>371</v>
      </c>
      <c r="EN234" s="3">
        <v>-2696</v>
      </c>
      <c r="EO234" s="138">
        <v>208</v>
      </c>
      <c r="EP234" s="138">
        <v>299</v>
      </c>
      <c r="EQ234" s="3">
        <v>-2750</v>
      </c>
      <c r="ER234" s="138">
        <v>110</v>
      </c>
      <c r="ES234" s="138">
        <v>294</v>
      </c>
      <c r="ET234" s="163">
        <v>7000</v>
      </c>
      <c r="EU234" s="163">
        <v>-1350</v>
      </c>
      <c r="EV234" s="138">
        <v>5000</v>
      </c>
      <c r="EW234" s="138">
        <v>400</v>
      </c>
      <c r="EX234" s="138">
        <v>3000</v>
      </c>
      <c r="EY234" s="138">
        <v>-400</v>
      </c>
      <c r="EZ234" s="138">
        <v>27804</v>
      </c>
      <c r="FA234" s="138">
        <v>22390</v>
      </c>
      <c r="FB234" s="138">
        <v>5414</v>
      </c>
      <c r="FC234" s="138">
        <v>3329</v>
      </c>
      <c r="FD234" s="138">
        <v>28888</v>
      </c>
      <c r="FE234" s="138">
        <v>22457</v>
      </c>
      <c r="FF234" s="138">
        <v>6431</v>
      </c>
      <c r="FG234" s="138">
        <v>3290</v>
      </c>
      <c r="FH234" s="138">
        <v>27958</v>
      </c>
      <c r="FI234" s="138">
        <v>21655</v>
      </c>
      <c r="FJ234" s="138">
        <v>6303</v>
      </c>
      <c r="FK234" s="138">
        <v>3387</v>
      </c>
      <c r="FL234" s="147">
        <v>4607</v>
      </c>
      <c r="FM234" s="147">
        <v>4786.7030610255415</v>
      </c>
      <c r="FO234" s="181">
        <f t="shared" si="9"/>
        <v>1224.4761904761904</v>
      </c>
      <c r="FP234" s="179">
        <f t="shared" si="11"/>
        <v>120.46002857611317</v>
      </c>
      <c r="FR234" s="184"/>
      <c r="FV234" s="184">
        <v>2759</v>
      </c>
      <c r="FW234" s="2">
        <f t="shared" si="10"/>
        <v>-2759</v>
      </c>
    </row>
    <row r="235" spans="1:179" ht="12.75">
      <c r="A235" s="82">
        <v>732</v>
      </c>
      <c r="B235" s="80" t="s">
        <v>226</v>
      </c>
      <c r="C235" s="191">
        <v>4052</v>
      </c>
      <c r="D235" s="146"/>
      <c r="E235" s="150">
        <v>0.9451887941534713</v>
      </c>
      <c r="F235" s="150">
        <v>39.4</v>
      </c>
      <c r="G235" s="151">
        <v>-2880</v>
      </c>
      <c r="H235" s="152"/>
      <c r="I235" s="152"/>
      <c r="J235" s="152"/>
      <c r="K235" s="150">
        <v>46.4</v>
      </c>
      <c r="L235" s="151">
        <v>130</v>
      </c>
      <c r="M235" s="151">
        <v>5</v>
      </c>
      <c r="N235" s="154">
        <v>9322.063178677196</v>
      </c>
      <c r="O235" s="146">
        <v>19389</v>
      </c>
      <c r="P235" s="139">
        <v>6818</v>
      </c>
      <c r="Q235" s="139">
        <v>33921</v>
      </c>
      <c r="R235" s="139">
        <v>-27103</v>
      </c>
      <c r="S235" s="146">
        <v>10497</v>
      </c>
      <c r="T235" s="139">
        <v>18091</v>
      </c>
      <c r="U235" s="160"/>
      <c r="W235" s="138">
        <v>-246</v>
      </c>
      <c r="X235" s="138">
        <v>50</v>
      </c>
      <c r="Y235" s="139">
        <v>1289</v>
      </c>
      <c r="Z235" s="138">
        <v>837</v>
      </c>
      <c r="AC235" s="139">
        <v>452</v>
      </c>
      <c r="AG235" s="139">
        <v>452</v>
      </c>
      <c r="AH235" s="139">
        <v>5048</v>
      </c>
      <c r="AI235" s="139">
        <v>1214</v>
      </c>
      <c r="AJ235" s="176"/>
      <c r="AK235" s="139">
        <v>74</v>
      </c>
      <c r="AL235" s="151">
        <v>-1379</v>
      </c>
      <c r="AM235" s="151">
        <v>-788</v>
      </c>
      <c r="AN235" s="146">
        <v>10497</v>
      </c>
      <c r="AO235" s="139">
        <v>8604</v>
      </c>
      <c r="AP235" s="139">
        <v>1193</v>
      </c>
      <c r="AQ235" s="139">
        <v>700</v>
      </c>
      <c r="AR235" s="114">
        <v>19.5</v>
      </c>
      <c r="AS235" s="152"/>
      <c r="AT235" s="138">
        <v>115</v>
      </c>
      <c r="AU235" s="191">
        <v>3979</v>
      </c>
      <c r="AV235" s="146"/>
      <c r="AW235" s="150">
        <v>0.4318471337579618</v>
      </c>
      <c r="AX235" s="150">
        <v>41.2</v>
      </c>
      <c r="AY235" s="151">
        <v>-3134</v>
      </c>
      <c r="AZ235" s="152"/>
      <c r="BA235" s="152"/>
      <c r="BB235" s="152"/>
      <c r="BC235" s="150">
        <v>44</v>
      </c>
      <c r="BD235" s="151">
        <v>138</v>
      </c>
      <c r="BE235" s="151">
        <v>5</v>
      </c>
      <c r="BF235" s="154">
        <v>9659.713495853228</v>
      </c>
      <c r="BG235" s="146">
        <v>19974</v>
      </c>
      <c r="BH235" s="139">
        <v>6931</v>
      </c>
      <c r="BI235" s="139">
        <v>35521</v>
      </c>
      <c r="BJ235" s="139">
        <v>-28590</v>
      </c>
      <c r="BK235" s="146">
        <v>10267</v>
      </c>
      <c r="BL235" s="146">
        <v>18931</v>
      </c>
      <c r="BM235" s="160"/>
      <c r="BO235" s="138">
        <v>-229</v>
      </c>
      <c r="BP235" s="138">
        <v>58</v>
      </c>
      <c r="BQ235" s="139">
        <v>437</v>
      </c>
      <c r="BR235" s="138">
        <v>876</v>
      </c>
      <c r="BU235" s="139">
        <v>-439</v>
      </c>
      <c r="BY235" s="138">
        <v>-439</v>
      </c>
      <c r="BZ235" s="139">
        <v>4610</v>
      </c>
      <c r="CA235" s="139">
        <v>411</v>
      </c>
      <c r="CB235" s="176"/>
      <c r="CC235" s="139">
        <v>-125</v>
      </c>
      <c r="CD235" s="151">
        <v>-1329</v>
      </c>
      <c r="CE235" s="151">
        <v>-712</v>
      </c>
      <c r="CF235" s="138">
        <v>10267</v>
      </c>
      <c r="CG235" s="139">
        <v>8674</v>
      </c>
      <c r="CH235" s="139">
        <v>740</v>
      </c>
      <c r="CI235" s="139">
        <v>853</v>
      </c>
      <c r="CJ235" s="114">
        <v>19.5</v>
      </c>
      <c r="CK235" s="152"/>
      <c r="CL235" s="138">
        <v>185</v>
      </c>
      <c r="CM235" s="190">
        <v>3890</v>
      </c>
      <c r="CN235" s="146"/>
      <c r="CO235" s="150">
        <v>0.9457562220804084</v>
      </c>
      <c r="CP235" s="150">
        <v>40.67039405045344</v>
      </c>
      <c r="CQ235" s="151">
        <v>-3420.822622107969</v>
      </c>
      <c r="CR235" s="152"/>
      <c r="CS235" s="152"/>
      <c r="CT235" s="152"/>
      <c r="CU235" s="150">
        <v>44.03457379479946</v>
      </c>
      <c r="CV235" s="151">
        <v>76.8637532133676</v>
      </c>
      <c r="CW235" s="151">
        <v>2.746985828991417</v>
      </c>
      <c r="CX235" s="154">
        <v>10213.110539845758</v>
      </c>
      <c r="CY235" s="146">
        <v>19597</v>
      </c>
      <c r="CZ235" s="139">
        <v>6709</v>
      </c>
      <c r="DA235" s="139">
        <v>35913</v>
      </c>
      <c r="DB235" s="139">
        <v>-29204</v>
      </c>
      <c r="DC235" s="146">
        <v>11060</v>
      </c>
      <c r="DD235" s="146">
        <v>19612</v>
      </c>
      <c r="DE235" s="160"/>
      <c r="DG235" s="138">
        <v>-196</v>
      </c>
      <c r="DH235" s="138">
        <v>6</v>
      </c>
      <c r="DI235" s="139">
        <v>1278</v>
      </c>
      <c r="DJ235" s="138">
        <v>1005</v>
      </c>
      <c r="DM235" s="139">
        <v>273</v>
      </c>
      <c r="DQ235" s="138">
        <v>273</v>
      </c>
      <c r="DR235" s="139">
        <v>4884</v>
      </c>
      <c r="DS235" s="139">
        <v>1258</v>
      </c>
      <c r="DT235" s="176"/>
      <c r="DU235" s="139">
        <v>262</v>
      </c>
      <c r="DV235" s="151">
        <v>-1363</v>
      </c>
      <c r="DW235" s="138">
        <v>-902</v>
      </c>
      <c r="DX235" s="138">
        <v>11060</v>
      </c>
      <c r="DY235" s="146">
        <v>9291</v>
      </c>
      <c r="DZ235" s="196">
        <v>865</v>
      </c>
      <c r="EA235" s="146">
        <v>904</v>
      </c>
      <c r="EB235" s="114">
        <v>20</v>
      </c>
      <c r="EC235" s="152"/>
      <c r="ED235" s="138">
        <v>123</v>
      </c>
      <c r="EE235" s="138">
        <v>10390</v>
      </c>
      <c r="EF235" s="138">
        <v>11157</v>
      </c>
      <c r="EG235" s="138">
        <v>12085</v>
      </c>
      <c r="EH235" s="138"/>
      <c r="EI235" s="138"/>
      <c r="EJ235" s="138"/>
      <c r="EK235" s="3">
        <v>-2165</v>
      </c>
      <c r="EL235" s="138">
        <v>75</v>
      </c>
      <c r="EM235" s="138">
        <v>88</v>
      </c>
      <c r="EN235" s="3">
        <v>-1345</v>
      </c>
      <c r="EO235" s="138">
        <v>189</v>
      </c>
      <c r="EP235" s="138">
        <v>33</v>
      </c>
      <c r="EQ235" s="3">
        <v>-2203</v>
      </c>
      <c r="ER235" s="138">
        <v>19</v>
      </c>
      <c r="ES235" s="138">
        <v>24</v>
      </c>
      <c r="ET235" s="163">
        <v>1500</v>
      </c>
      <c r="EU235" s="163"/>
      <c r="EV235" s="138">
        <v>1000</v>
      </c>
      <c r="EW235" s="138"/>
      <c r="EX235" s="138">
        <v>1500</v>
      </c>
      <c r="EY235" s="138"/>
      <c r="EZ235" s="138">
        <v>10136</v>
      </c>
      <c r="FA235" s="138">
        <v>8882</v>
      </c>
      <c r="FB235" s="138">
        <v>1254</v>
      </c>
      <c r="FC235" s="138">
        <v>3623</v>
      </c>
      <c r="FD235" s="138">
        <v>9807</v>
      </c>
      <c r="FE235" s="138">
        <v>8519</v>
      </c>
      <c r="FF235" s="138">
        <v>1288</v>
      </c>
      <c r="FG235" s="138">
        <v>3589</v>
      </c>
      <c r="FH235" s="138">
        <v>9943</v>
      </c>
      <c r="FI235" s="138">
        <v>8570</v>
      </c>
      <c r="FJ235" s="138">
        <v>1373</v>
      </c>
      <c r="FK235" s="138">
        <v>3541</v>
      </c>
      <c r="FL235" s="147">
        <v>4611</v>
      </c>
      <c r="FM235" s="147">
        <v>4691.3797436541845</v>
      </c>
      <c r="FO235" s="181">
        <f t="shared" si="9"/>
        <v>464.55</v>
      </c>
      <c r="FP235" s="179">
        <f t="shared" si="11"/>
        <v>119.4215938303342</v>
      </c>
      <c r="FR235" s="184"/>
      <c r="FV235" s="184">
        <v>1379</v>
      </c>
      <c r="FW235" s="2">
        <f t="shared" si="10"/>
        <v>-1379</v>
      </c>
    </row>
    <row r="236" spans="1:179" ht="12.75">
      <c r="A236" s="82">
        <v>734</v>
      </c>
      <c r="B236" s="80" t="s">
        <v>227</v>
      </c>
      <c r="C236" s="191">
        <v>55283</v>
      </c>
      <c r="D236" s="146"/>
      <c r="E236" s="150">
        <v>-0.08242463117382938</v>
      </c>
      <c r="F236" s="150">
        <v>37.5</v>
      </c>
      <c r="G236" s="151">
        <v>-1630</v>
      </c>
      <c r="H236" s="152"/>
      <c r="I236" s="152"/>
      <c r="J236" s="152"/>
      <c r="K236" s="150">
        <v>70.7</v>
      </c>
      <c r="L236" s="151">
        <v>344</v>
      </c>
      <c r="M236" s="151">
        <v>19</v>
      </c>
      <c r="N236" s="154">
        <v>6481.685147332815</v>
      </c>
      <c r="O236" s="146">
        <v>161595</v>
      </c>
      <c r="P236" s="139">
        <v>72292</v>
      </c>
      <c r="Q236" s="139">
        <v>333492</v>
      </c>
      <c r="R236" s="139">
        <v>-261200</v>
      </c>
      <c r="S236" s="146">
        <v>194006</v>
      </c>
      <c r="T236" s="139">
        <v>65231</v>
      </c>
      <c r="U236" s="160"/>
      <c r="W236" s="138">
        <v>-1923</v>
      </c>
      <c r="X236" s="138">
        <v>923</v>
      </c>
      <c r="Y236" s="139">
        <v>-2963</v>
      </c>
      <c r="Z236" s="138">
        <v>17837</v>
      </c>
      <c r="AC236" s="139">
        <v>-20800</v>
      </c>
      <c r="AD236" s="138">
        <v>-12249</v>
      </c>
      <c r="AE236" s="138">
        <v>12614</v>
      </c>
      <c r="AF236" s="139"/>
      <c r="AG236" s="139">
        <v>-20435</v>
      </c>
      <c r="AH236" s="139">
        <v>65203</v>
      </c>
      <c r="AI236" s="139">
        <v>-4055</v>
      </c>
      <c r="AJ236" s="176"/>
      <c r="AK236" s="139">
        <v>-1047</v>
      </c>
      <c r="AL236" s="151">
        <v>-7162</v>
      </c>
      <c r="AM236" s="151">
        <v>-16092</v>
      </c>
      <c r="AN236" s="146">
        <v>194006</v>
      </c>
      <c r="AO236" s="139">
        <v>145235</v>
      </c>
      <c r="AP236" s="139">
        <v>40513</v>
      </c>
      <c r="AQ236" s="139">
        <v>8258</v>
      </c>
      <c r="AR236" s="114">
        <v>18.75</v>
      </c>
      <c r="AS236" s="152"/>
      <c r="AT236" s="138">
        <v>298</v>
      </c>
      <c r="AU236" s="191">
        <v>54858</v>
      </c>
      <c r="AV236" s="146"/>
      <c r="AW236" s="150">
        <v>-2.0949123145114665</v>
      </c>
      <c r="AX236" s="150">
        <v>47.6</v>
      </c>
      <c r="AY236" s="151">
        <v>-2241</v>
      </c>
      <c r="AZ236" s="152"/>
      <c r="BA236" s="152"/>
      <c r="BB236" s="152"/>
      <c r="BC236" s="150">
        <v>63.4</v>
      </c>
      <c r="BD236" s="151">
        <v>245</v>
      </c>
      <c r="BE236" s="151">
        <v>14</v>
      </c>
      <c r="BF236" s="154">
        <v>6590.9803492653755</v>
      </c>
      <c r="BG236" s="146">
        <v>162598</v>
      </c>
      <c r="BH236" s="139">
        <v>70292</v>
      </c>
      <c r="BI236" s="139">
        <v>338435</v>
      </c>
      <c r="BJ236" s="139">
        <v>-268143</v>
      </c>
      <c r="BK236" s="146">
        <v>173027</v>
      </c>
      <c r="BL236" s="146">
        <v>72613</v>
      </c>
      <c r="BM236" s="160"/>
      <c r="BO236" s="138">
        <v>-2124</v>
      </c>
      <c r="BP236" s="138">
        <v>588</v>
      </c>
      <c r="BQ236" s="139">
        <v>-24039</v>
      </c>
      <c r="BR236" s="138">
        <v>16879</v>
      </c>
      <c r="BU236" s="139">
        <v>-40918</v>
      </c>
      <c r="BV236" s="138">
        <v>825</v>
      </c>
      <c r="BX236" s="139"/>
      <c r="BY236" s="138">
        <v>-40093</v>
      </c>
      <c r="BZ236" s="139">
        <v>25110</v>
      </c>
      <c r="CA236" s="139">
        <v>-24124</v>
      </c>
      <c r="CB236" s="176"/>
      <c r="CC236" s="139">
        <v>1227</v>
      </c>
      <c r="CD236" s="151">
        <v>-8080</v>
      </c>
      <c r="CE236" s="151">
        <v>-32785</v>
      </c>
      <c r="CF236" s="138">
        <v>173027</v>
      </c>
      <c r="CG236" s="139">
        <v>154094</v>
      </c>
      <c r="CH236" s="139">
        <v>8627</v>
      </c>
      <c r="CI236" s="139">
        <v>10306</v>
      </c>
      <c r="CJ236" s="114">
        <v>19.5</v>
      </c>
      <c r="CK236" s="152"/>
      <c r="CL236" s="138">
        <v>316</v>
      </c>
      <c r="CM236" s="190">
        <v>54478</v>
      </c>
      <c r="CN236" s="146"/>
      <c r="CO236" s="150">
        <v>1.0106382978723405</v>
      </c>
      <c r="CP236" s="150">
        <v>44.36917350772227</v>
      </c>
      <c r="CQ236" s="151">
        <v>-2200.117478615221</v>
      </c>
      <c r="CR236" s="152"/>
      <c r="CS236" s="152"/>
      <c r="CT236" s="152"/>
      <c r="CU236" s="150">
        <v>62.73299219864106</v>
      </c>
      <c r="CV236" s="151">
        <v>341.4222254855171</v>
      </c>
      <c r="CW236" s="151">
        <v>19.07290349768226</v>
      </c>
      <c r="CX236" s="154">
        <v>6533.830169976872</v>
      </c>
      <c r="CY236" s="146">
        <v>157597</v>
      </c>
      <c r="CZ236" s="139">
        <v>66463</v>
      </c>
      <c r="DA236" s="139">
        <v>330499</v>
      </c>
      <c r="DB236" s="139">
        <v>-264036</v>
      </c>
      <c r="DC236" s="146">
        <v>192588</v>
      </c>
      <c r="DD236" s="146">
        <v>85925</v>
      </c>
      <c r="DE236" s="160"/>
      <c r="DG236" s="138">
        <v>-2275</v>
      </c>
      <c r="DH236" s="138">
        <v>414</v>
      </c>
      <c r="DI236" s="139">
        <v>12616</v>
      </c>
      <c r="DJ236" s="138">
        <v>16020</v>
      </c>
      <c r="DM236" s="139">
        <v>-3404</v>
      </c>
      <c r="DN236" s="138">
        <v>825</v>
      </c>
      <c r="DP236" s="139"/>
      <c r="DQ236" s="138">
        <v>-2579</v>
      </c>
      <c r="DR236" s="139">
        <v>22530</v>
      </c>
      <c r="DS236" s="139">
        <v>11436</v>
      </c>
      <c r="DT236" s="176"/>
      <c r="DU236" s="139">
        <v>-733</v>
      </c>
      <c r="DV236" s="151">
        <v>-12458</v>
      </c>
      <c r="DW236" s="138">
        <v>2982</v>
      </c>
      <c r="DX236" s="138">
        <v>192588</v>
      </c>
      <c r="DY236" s="146">
        <v>174388</v>
      </c>
      <c r="DZ236" s="196">
        <v>7476</v>
      </c>
      <c r="EA236" s="146">
        <v>10724</v>
      </c>
      <c r="EB236" s="114">
        <v>19.75</v>
      </c>
      <c r="EC236" s="152"/>
      <c r="ED236" s="138">
        <v>179</v>
      </c>
      <c r="EE236" s="138">
        <v>118754</v>
      </c>
      <c r="EF236" s="138">
        <v>121804</v>
      </c>
      <c r="EG236" s="138">
        <v>122350</v>
      </c>
      <c r="EH236" s="138"/>
      <c r="EI236" s="138">
        <v>3000</v>
      </c>
      <c r="EJ236" s="138">
        <v>1650</v>
      </c>
      <c r="EK236" s="3">
        <v>-15350</v>
      </c>
      <c r="EL236" s="138">
        <v>1821</v>
      </c>
      <c r="EM236" s="138">
        <v>1492</v>
      </c>
      <c r="EN236" s="3">
        <v>-12610</v>
      </c>
      <c r="EO236" s="138">
        <v>-73</v>
      </c>
      <c r="EP236" s="138">
        <v>4022</v>
      </c>
      <c r="EQ236" s="3">
        <v>-10510</v>
      </c>
      <c r="ER236" s="138">
        <v>274</v>
      </c>
      <c r="ES236" s="138">
        <v>1782</v>
      </c>
      <c r="ET236" s="163">
        <v>13000</v>
      </c>
      <c r="EU236" s="163"/>
      <c r="EV236" s="138">
        <v>34500</v>
      </c>
      <c r="EW236" s="138"/>
      <c r="EX236" s="138">
        <v>15000</v>
      </c>
      <c r="EY236" s="138"/>
      <c r="EZ236" s="138">
        <v>80629</v>
      </c>
      <c r="FA236" s="138">
        <v>72925</v>
      </c>
      <c r="FB236" s="138">
        <v>7704</v>
      </c>
      <c r="FC236" s="138">
        <v>4711</v>
      </c>
      <c r="FD236" s="138">
        <v>107049</v>
      </c>
      <c r="FE236" s="138">
        <v>94590</v>
      </c>
      <c r="FF236" s="138">
        <v>12459</v>
      </c>
      <c r="FG236" s="138">
        <v>4789</v>
      </c>
      <c r="FH236" s="138">
        <v>109590</v>
      </c>
      <c r="FI236" s="138">
        <v>96969</v>
      </c>
      <c r="FJ236" s="138">
        <v>12621</v>
      </c>
      <c r="FK236" s="138">
        <v>4821</v>
      </c>
      <c r="FL236" s="147">
        <v>2847</v>
      </c>
      <c r="FM236" s="147">
        <v>3526.085529913595</v>
      </c>
      <c r="FO236" s="181">
        <f t="shared" si="9"/>
        <v>8829.772151898735</v>
      </c>
      <c r="FP236" s="179">
        <f t="shared" si="11"/>
        <v>162.0795945500704</v>
      </c>
      <c r="FR236" s="184"/>
      <c r="FV236" s="184">
        <v>7162</v>
      </c>
      <c r="FW236" s="2">
        <f t="shared" si="10"/>
        <v>-7162</v>
      </c>
    </row>
    <row r="237" spans="1:179" ht="12.75">
      <c r="A237" s="183">
        <v>790</v>
      </c>
      <c r="B237" s="86" t="s">
        <v>386</v>
      </c>
      <c r="C237" s="191">
        <v>24498</v>
      </c>
      <c r="D237" s="146"/>
      <c r="E237" s="150">
        <v>1.1733507939106236</v>
      </c>
      <c r="F237" s="150">
        <v>46.3</v>
      </c>
      <c r="G237" s="151">
        <v>-1849</v>
      </c>
      <c r="H237" s="152"/>
      <c r="I237" s="152"/>
      <c r="J237" s="152"/>
      <c r="K237" s="150">
        <v>55.7</v>
      </c>
      <c r="L237" s="151">
        <v>729</v>
      </c>
      <c r="M237" s="151">
        <v>39</v>
      </c>
      <c r="N237" s="154">
        <v>6183.4843660707</v>
      </c>
      <c r="O237" s="146">
        <v>48343</v>
      </c>
      <c r="P237" s="139">
        <v>30011</v>
      </c>
      <c r="Q237" s="139">
        <v>145942</v>
      </c>
      <c r="R237" s="139">
        <v>-115931</v>
      </c>
      <c r="S237" s="146">
        <v>68824</v>
      </c>
      <c r="T237" s="139">
        <v>54764</v>
      </c>
      <c r="U237" s="160"/>
      <c r="W237" s="138">
        <v>-1125</v>
      </c>
      <c r="X237" s="138">
        <v>518</v>
      </c>
      <c r="Y237" s="139">
        <v>7050</v>
      </c>
      <c r="Z237" s="138">
        <v>6345</v>
      </c>
      <c r="AC237" s="139">
        <v>705</v>
      </c>
      <c r="AD237" s="138">
        <v>-655</v>
      </c>
      <c r="AE237" s="139">
        <v>1765</v>
      </c>
      <c r="AF237" s="138">
        <v>-6</v>
      </c>
      <c r="AG237" s="139">
        <v>1809</v>
      </c>
      <c r="AH237" s="139">
        <v>16039</v>
      </c>
      <c r="AI237" s="139">
        <v>6155</v>
      </c>
      <c r="AJ237" s="176"/>
      <c r="AK237" s="139">
        <v>914</v>
      </c>
      <c r="AL237" s="151">
        <v>-5991</v>
      </c>
      <c r="AM237" s="151">
        <v>-6817</v>
      </c>
      <c r="AN237" s="146">
        <v>68824</v>
      </c>
      <c r="AO237" s="139">
        <v>60588</v>
      </c>
      <c r="AP237" s="139">
        <v>4280</v>
      </c>
      <c r="AQ237" s="139">
        <v>3956</v>
      </c>
      <c r="AR237" s="114">
        <v>20</v>
      </c>
      <c r="AS237" s="152"/>
      <c r="AT237" s="138">
        <v>131</v>
      </c>
      <c r="AU237" s="191">
        <v>24501</v>
      </c>
      <c r="AV237" s="146"/>
      <c r="AW237" s="150">
        <v>1.0621258480776905</v>
      </c>
      <c r="AX237" s="150">
        <v>40.3</v>
      </c>
      <c r="AY237" s="151">
        <v>-1926</v>
      </c>
      <c r="AZ237" s="152"/>
      <c r="BA237" s="152"/>
      <c r="BB237" s="152"/>
      <c r="BC237" s="150">
        <v>56.6</v>
      </c>
      <c r="BD237" s="151">
        <v>479</v>
      </c>
      <c r="BE237" s="151">
        <v>23</v>
      </c>
      <c r="BF237" s="154">
        <v>7448.226602995796</v>
      </c>
      <c r="BG237" s="146">
        <v>72684</v>
      </c>
      <c r="BH237" s="139">
        <v>42581</v>
      </c>
      <c r="BI237" s="139">
        <v>163644</v>
      </c>
      <c r="BJ237" s="139">
        <v>-121063</v>
      </c>
      <c r="BK237" s="146">
        <v>71565</v>
      </c>
      <c r="BL237" s="146">
        <v>56981</v>
      </c>
      <c r="BM237" s="160"/>
      <c r="BO237" s="138">
        <v>-1096</v>
      </c>
      <c r="BP237" s="138">
        <v>440</v>
      </c>
      <c r="BQ237" s="139">
        <v>6827</v>
      </c>
      <c r="BR237" s="138">
        <v>6036</v>
      </c>
      <c r="BU237" s="139">
        <v>791</v>
      </c>
      <c r="BV237" s="138">
        <v>128</v>
      </c>
      <c r="BW237" s="139">
        <v>2000</v>
      </c>
      <c r="BX237" s="138">
        <v>-7</v>
      </c>
      <c r="BY237" s="138">
        <v>2912</v>
      </c>
      <c r="BZ237" s="139">
        <v>18950</v>
      </c>
      <c r="CA237" s="139">
        <v>5442</v>
      </c>
      <c r="CB237" s="176"/>
      <c r="CC237" s="139">
        <v>-2227</v>
      </c>
      <c r="CD237" s="151">
        <v>-6360</v>
      </c>
      <c r="CE237" s="151">
        <v>-1675</v>
      </c>
      <c r="CF237" s="138">
        <v>71565</v>
      </c>
      <c r="CG237" s="139">
        <v>64386</v>
      </c>
      <c r="CH237" s="139">
        <v>3029</v>
      </c>
      <c r="CI237" s="139">
        <v>4150</v>
      </c>
      <c r="CJ237" s="114">
        <v>20</v>
      </c>
      <c r="CK237" s="152"/>
      <c r="CL237" s="138">
        <v>71</v>
      </c>
      <c r="CM237" s="190">
        <v>25511</v>
      </c>
      <c r="CN237" s="146"/>
      <c r="CO237" s="150">
        <v>0.743605359317905</v>
      </c>
      <c r="CP237" s="150">
        <v>41.943523839903115</v>
      </c>
      <c r="CQ237" s="151">
        <v>-2244.992356238485</v>
      </c>
      <c r="CR237" s="152"/>
      <c r="CS237" s="152"/>
      <c r="CT237" s="152"/>
      <c r="CU237" s="150">
        <v>54.31353785533352</v>
      </c>
      <c r="CV237" s="151">
        <v>373.40754968444986</v>
      </c>
      <c r="CW237" s="151">
        <v>17.21256615000767</v>
      </c>
      <c r="CX237" s="154">
        <v>7918.270549958842</v>
      </c>
      <c r="CY237" s="146">
        <v>79636</v>
      </c>
      <c r="CZ237" s="139">
        <v>44819</v>
      </c>
      <c r="DA237" s="139">
        <v>179800</v>
      </c>
      <c r="DB237" s="139">
        <v>-134981</v>
      </c>
      <c r="DC237" s="146">
        <v>79352</v>
      </c>
      <c r="DD237" s="146">
        <v>61332</v>
      </c>
      <c r="DE237" s="160"/>
      <c r="DG237" s="138">
        <v>-914</v>
      </c>
      <c r="DH237" s="138">
        <v>389</v>
      </c>
      <c r="DI237" s="139">
        <v>5178</v>
      </c>
      <c r="DJ237" s="138">
        <v>6930</v>
      </c>
      <c r="DM237" s="139">
        <v>-1752</v>
      </c>
      <c r="DN237" s="138">
        <v>209</v>
      </c>
      <c r="DO237" s="139">
        <v>-500</v>
      </c>
      <c r="DP237" s="138">
        <v>2</v>
      </c>
      <c r="DQ237" s="138">
        <v>-2041</v>
      </c>
      <c r="DR237" s="139">
        <v>17134</v>
      </c>
      <c r="DS237" s="139">
        <v>4846</v>
      </c>
      <c r="DT237" s="176"/>
      <c r="DU237" s="139">
        <v>-592</v>
      </c>
      <c r="DV237" s="151">
        <v>-7283</v>
      </c>
      <c r="DW237" s="138">
        <v>-8364</v>
      </c>
      <c r="DX237" s="138">
        <v>79352</v>
      </c>
      <c r="DY237" s="146">
        <v>71274</v>
      </c>
      <c r="DZ237" s="196">
        <v>3469</v>
      </c>
      <c r="EA237" s="146">
        <v>4609</v>
      </c>
      <c r="EB237" s="114">
        <v>20</v>
      </c>
      <c r="EC237" s="152"/>
      <c r="ED237" s="138">
        <v>195</v>
      </c>
      <c r="EE237" s="138">
        <v>81540</v>
      </c>
      <c r="EF237" s="138">
        <v>70009</v>
      </c>
      <c r="EG237" s="138">
        <v>75649</v>
      </c>
      <c r="EH237" s="138"/>
      <c r="EI237" s="138"/>
      <c r="EJ237" s="138"/>
      <c r="EK237" s="3">
        <v>-15270</v>
      </c>
      <c r="EL237" s="138">
        <v>1121</v>
      </c>
      <c r="EM237" s="138">
        <v>1177</v>
      </c>
      <c r="EN237" s="3">
        <v>-11777</v>
      </c>
      <c r="EO237" s="138">
        <v>470</v>
      </c>
      <c r="EP237" s="138">
        <v>4190</v>
      </c>
      <c r="EQ237" s="3">
        <v>-14452</v>
      </c>
      <c r="ER237" s="138">
        <v>578</v>
      </c>
      <c r="ES237" s="138">
        <v>664</v>
      </c>
      <c r="ET237" s="163">
        <v>7000</v>
      </c>
      <c r="EU237" s="163"/>
      <c r="EV237" s="138">
        <v>5345</v>
      </c>
      <c r="EW237" s="138"/>
      <c r="EX237" s="138">
        <v>11000</v>
      </c>
      <c r="EY237" s="138"/>
      <c r="EZ237" s="138">
        <v>43646</v>
      </c>
      <c r="FA237" s="138">
        <v>37278</v>
      </c>
      <c r="FB237" s="138">
        <v>6368</v>
      </c>
      <c r="FC237" s="138">
        <v>1057</v>
      </c>
      <c r="FD237" s="138">
        <v>42631</v>
      </c>
      <c r="FE237" s="138">
        <v>35726</v>
      </c>
      <c r="FF237" s="138">
        <v>6905</v>
      </c>
      <c r="FG237" s="138">
        <v>1044</v>
      </c>
      <c r="FH237" s="138">
        <v>47672</v>
      </c>
      <c r="FI237" s="138">
        <v>39668</v>
      </c>
      <c r="FJ237" s="138">
        <v>8004</v>
      </c>
      <c r="FK237" s="138">
        <v>1167</v>
      </c>
      <c r="FL237" s="147">
        <v>2584</v>
      </c>
      <c r="FM237" s="147">
        <v>2888.249459205747</v>
      </c>
      <c r="FO237" s="181">
        <f t="shared" si="9"/>
        <v>3563.7</v>
      </c>
      <c r="FP237" s="179">
        <f t="shared" si="11"/>
        <v>139.69268158833444</v>
      </c>
      <c r="FR237" s="184"/>
      <c r="FV237" s="184">
        <v>5991</v>
      </c>
      <c r="FW237" s="2">
        <f t="shared" si="10"/>
        <v>-5991</v>
      </c>
    </row>
    <row r="238" spans="1:179" ht="12.75">
      <c r="A238" s="82">
        <v>738</v>
      </c>
      <c r="B238" s="80" t="s">
        <v>228</v>
      </c>
      <c r="C238" s="191">
        <v>3043</v>
      </c>
      <c r="D238" s="146"/>
      <c r="E238" s="150">
        <v>1.1439688715953307</v>
      </c>
      <c r="F238" s="150">
        <v>40.7</v>
      </c>
      <c r="G238" s="151">
        <v>-1950</v>
      </c>
      <c r="H238" s="152"/>
      <c r="I238" s="152"/>
      <c r="J238" s="152"/>
      <c r="K238" s="150">
        <v>52.1</v>
      </c>
      <c r="L238" s="151">
        <v>42</v>
      </c>
      <c r="M238" s="151">
        <v>3</v>
      </c>
      <c r="N238" s="154">
        <v>12078.540913572131</v>
      </c>
      <c r="O238" s="146">
        <v>5859</v>
      </c>
      <c r="P238" s="139">
        <v>1605</v>
      </c>
      <c r="Q238" s="139">
        <v>15384</v>
      </c>
      <c r="R238" s="139">
        <v>-13779</v>
      </c>
      <c r="S238" s="146">
        <v>8923</v>
      </c>
      <c r="T238" s="139">
        <v>5620</v>
      </c>
      <c r="U238" s="160"/>
      <c r="W238" s="138">
        <v>-63</v>
      </c>
      <c r="X238" s="138">
        <v>2</v>
      </c>
      <c r="Y238" s="139">
        <v>703</v>
      </c>
      <c r="Z238" s="138">
        <v>331</v>
      </c>
      <c r="AC238" s="139">
        <v>372</v>
      </c>
      <c r="AD238" s="139"/>
      <c r="AF238" s="139"/>
      <c r="AG238" s="139">
        <v>372</v>
      </c>
      <c r="AH238" s="139">
        <v>-188</v>
      </c>
      <c r="AI238" s="139">
        <v>687</v>
      </c>
      <c r="AJ238" s="176"/>
      <c r="AK238" s="139">
        <v>57</v>
      </c>
      <c r="AL238" s="151">
        <v>-444</v>
      </c>
      <c r="AM238" s="151">
        <v>101</v>
      </c>
      <c r="AN238" s="146">
        <v>8923</v>
      </c>
      <c r="AO238" s="139">
        <v>7995</v>
      </c>
      <c r="AP238" s="139">
        <v>329</v>
      </c>
      <c r="AQ238" s="139">
        <v>599</v>
      </c>
      <c r="AR238" s="114">
        <v>19.5</v>
      </c>
      <c r="AS238" s="152"/>
      <c r="AT238" s="138">
        <v>178</v>
      </c>
      <c r="AU238" s="191">
        <v>3033</v>
      </c>
      <c r="AV238" s="146"/>
      <c r="AW238" s="150">
        <v>-1.4604966139954854</v>
      </c>
      <c r="AX238" s="150">
        <v>52.5</v>
      </c>
      <c r="AY238" s="151">
        <v>-2586</v>
      </c>
      <c r="AZ238" s="152"/>
      <c r="BA238" s="152"/>
      <c r="BB238" s="152"/>
      <c r="BC238" s="150">
        <v>41.8</v>
      </c>
      <c r="BD238" s="151">
        <v>19</v>
      </c>
      <c r="BE238" s="151">
        <v>1</v>
      </c>
      <c r="BF238" s="154">
        <v>6065.941312232114</v>
      </c>
      <c r="BG238" s="146">
        <v>6115</v>
      </c>
      <c r="BH238" s="139">
        <v>1704</v>
      </c>
      <c r="BI238" s="139">
        <v>16629</v>
      </c>
      <c r="BJ238" s="139">
        <v>-14925</v>
      </c>
      <c r="BK238" s="146">
        <v>8930</v>
      </c>
      <c r="BL238" s="146">
        <v>5321</v>
      </c>
      <c r="BM238" s="160"/>
      <c r="BO238" s="138">
        <v>-36</v>
      </c>
      <c r="BP238" s="138">
        <v>13</v>
      </c>
      <c r="BQ238" s="139">
        <v>-697</v>
      </c>
      <c r="BR238" s="138">
        <v>357</v>
      </c>
      <c r="BU238" s="139">
        <v>-1054</v>
      </c>
      <c r="BV238" s="139"/>
      <c r="BX238" s="139"/>
      <c r="BY238" s="138">
        <v>-1054</v>
      </c>
      <c r="BZ238" s="139">
        <v>-1341</v>
      </c>
      <c r="CA238" s="139">
        <v>-751</v>
      </c>
      <c r="CB238" s="176"/>
      <c r="CC238" s="139">
        <v>27</v>
      </c>
      <c r="CD238" s="151">
        <v>-393</v>
      </c>
      <c r="CE238" s="151">
        <v>-1805</v>
      </c>
      <c r="CF238" s="138">
        <v>8930</v>
      </c>
      <c r="CG238" s="139">
        <v>8115</v>
      </c>
      <c r="CH238" s="139">
        <v>199</v>
      </c>
      <c r="CI238" s="139">
        <v>616</v>
      </c>
      <c r="CJ238" s="114">
        <v>19.5</v>
      </c>
      <c r="CK238" s="152"/>
      <c r="CL238" s="138">
        <v>310</v>
      </c>
      <c r="CM238" s="190">
        <v>3032</v>
      </c>
      <c r="CN238" s="146"/>
      <c r="CO238" s="150">
        <v>1.6723300970873787</v>
      </c>
      <c r="CP238" s="150">
        <v>46.46623550661306</v>
      </c>
      <c r="CQ238" s="151">
        <v>-2448.5488126649075</v>
      </c>
      <c r="CR238" s="152"/>
      <c r="CS238" s="152"/>
      <c r="CT238" s="152"/>
      <c r="CU238" s="150">
        <v>43.99497837913238</v>
      </c>
      <c r="CV238" s="151">
        <v>19.78891820580475</v>
      </c>
      <c r="CW238" s="151">
        <v>1.2719986060289248</v>
      </c>
      <c r="CX238" s="154">
        <v>5678.4300791556725</v>
      </c>
      <c r="CY238" s="146">
        <v>6172</v>
      </c>
      <c r="CZ238" s="139">
        <v>1765</v>
      </c>
      <c r="DA238" s="139">
        <v>16481</v>
      </c>
      <c r="DB238" s="139">
        <v>-14716</v>
      </c>
      <c r="DC238" s="146">
        <v>9844</v>
      </c>
      <c r="DD238" s="146">
        <v>5554</v>
      </c>
      <c r="DE238" s="160"/>
      <c r="DG238" s="138">
        <v>-27</v>
      </c>
      <c r="DH238" s="138">
        <v>1</v>
      </c>
      <c r="DI238" s="139">
        <v>656</v>
      </c>
      <c r="DJ238" s="138">
        <v>403</v>
      </c>
      <c r="DM238" s="139">
        <v>253</v>
      </c>
      <c r="DN238" s="139"/>
      <c r="DP238" s="139"/>
      <c r="DQ238" s="138">
        <v>253</v>
      </c>
      <c r="DR238" s="139">
        <v>-1089</v>
      </c>
      <c r="DS238" s="139">
        <v>581</v>
      </c>
      <c r="DT238" s="176"/>
      <c r="DU238" s="139">
        <v>-9</v>
      </c>
      <c r="DV238" s="151">
        <v>-378</v>
      </c>
      <c r="DW238" s="138">
        <v>449</v>
      </c>
      <c r="DX238" s="138">
        <v>9844</v>
      </c>
      <c r="DY238" s="146">
        <v>8929</v>
      </c>
      <c r="DZ238" s="196">
        <v>212</v>
      </c>
      <c r="EA238" s="146">
        <v>703</v>
      </c>
      <c r="EB238" s="114">
        <v>20</v>
      </c>
      <c r="EC238" s="152"/>
      <c r="ED238" s="138">
        <v>190</v>
      </c>
      <c r="EE238" s="138">
        <v>7970</v>
      </c>
      <c r="EF238" s="138">
        <v>8994</v>
      </c>
      <c r="EG238" s="138">
        <v>8797</v>
      </c>
      <c r="EH238" s="138">
        <v>450</v>
      </c>
      <c r="EI238" s="138"/>
      <c r="EJ238" s="138">
        <v>395</v>
      </c>
      <c r="EK238" s="3">
        <v>-628</v>
      </c>
      <c r="EL238" s="138">
        <v>13</v>
      </c>
      <c r="EM238" s="138">
        <v>29</v>
      </c>
      <c r="EN238" s="3">
        <v>-1324</v>
      </c>
      <c r="EO238" s="138">
        <v>170</v>
      </c>
      <c r="EP238" s="138">
        <v>100</v>
      </c>
      <c r="EQ238" s="3">
        <v>-279</v>
      </c>
      <c r="ER238" s="138">
        <v>48</v>
      </c>
      <c r="ES238" s="138">
        <v>99</v>
      </c>
      <c r="ET238" s="163"/>
      <c r="EU238" s="163">
        <v>200</v>
      </c>
      <c r="EV238" s="138"/>
      <c r="EW238" s="138">
        <v>1700</v>
      </c>
      <c r="EX238" s="138">
        <v>600</v>
      </c>
      <c r="EY238" s="138">
        <v>-550</v>
      </c>
      <c r="EZ238" s="138">
        <v>4806</v>
      </c>
      <c r="FA238" s="138">
        <v>1863</v>
      </c>
      <c r="FB238" s="138">
        <v>2943</v>
      </c>
      <c r="FC238" s="138">
        <v>178</v>
      </c>
      <c r="FD238" s="138">
        <v>6113</v>
      </c>
      <c r="FE238" s="138">
        <v>1530</v>
      </c>
      <c r="FF238" s="138">
        <v>4583</v>
      </c>
      <c r="FG238" s="138">
        <v>178</v>
      </c>
      <c r="FH238" s="138">
        <v>5785</v>
      </c>
      <c r="FI238" s="138">
        <v>1692</v>
      </c>
      <c r="FJ238" s="138">
        <v>4093</v>
      </c>
      <c r="FK238" s="138">
        <v>223</v>
      </c>
      <c r="FL238" s="147">
        <v>3109</v>
      </c>
      <c r="FM238" s="147">
        <v>3715.7929442795908</v>
      </c>
      <c r="FO238" s="181">
        <f t="shared" si="9"/>
        <v>446.45</v>
      </c>
      <c r="FP238" s="179">
        <f t="shared" si="11"/>
        <v>147.24604221635883</v>
      </c>
      <c r="FR238" s="184"/>
      <c r="FV238" s="184">
        <v>444</v>
      </c>
      <c r="FW238" s="2">
        <f t="shared" si="10"/>
        <v>-444</v>
      </c>
    </row>
    <row r="239" spans="1:179" ht="12.75">
      <c r="A239" s="82">
        <v>739</v>
      </c>
      <c r="B239" s="80" t="s">
        <v>229</v>
      </c>
      <c r="C239" s="191">
        <v>3789</v>
      </c>
      <c r="D239" s="146"/>
      <c r="E239" s="150">
        <v>5.92436974789916</v>
      </c>
      <c r="F239" s="150">
        <v>42.6</v>
      </c>
      <c r="G239" s="151">
        <v>-2464</v>
      </c>
      <c r="H239" s="152"/>
      <c r="I239" s="152"/>
      <c r="J239" s="152"/>
      <c r="K239" s="150">
        <v>52.5</v>
      </c>
      <c r="L239" s="151">
        <v>598</v>
      </c>
      <c r="M239" s="151">
        <v>23</v>
      </c>
      <c r="N239" s="154">
        <v>7743.995777249934</v>
      </c>
      <c r="O239" s="146">
        <v>9328</v>
      </c>
      <c r="P239" s="139">
        <v>7613</v>
      </c>
      <c r="Q239" s="139">
        <v>28163</v>
      </c>
      <c r="R239" s="139">
        <v>-20550</v>
      </c>
      <c r="S239" s="146">
        <v>10852</v>
      </c>
      <c r="T239" s="139">
        <v>10446</v>
      </c>
      <c r="U239" s="160"/>
      <c r="W239" s="138">
        <v>-145</v>
      </c>
      <c r="X239" s="138">
        <v>13</v>
      </c>
      <c r="Y239" s="139">
        <v>616</v>
      </c>
      <c r="Z239" s="138">
        <v>956</v>
      </c>
      <c r="AA239" s="139">
        <v>401</v>
      </c>
      <c r="AB239" s="139"/>
      <c r="AC239" s="139">
        <v>61</v>
      </c>
      <c r="AD239" s="139"/>
      <c r="AG239" s="139">
        <v>61</v>
      </c>
      <c r="AH239" s="139">
        <v>2231</v>
      </c>
      <c r="AI239" s="139">
        <v>562</v>
      </c>
      <c r="AJ239" s="176"/>
      <c r="AK239" s="138">
        <v>1343</v>
      </c>
      <c r="AL239" s="151">
        <v>-30</v>
      </c>
      <c r="AM239" s="151">
        <v>-5269</v>
      </c>
      <c r="AN239" s="146">
        <v>10852</v>
      </c>
      <c r="AO239" s="139">
        <v>8853</v>
      </c>
      <c r="AP239" s="139">
        <v>1062</v>
      </c>
      <c r="AQ239" s="139">
        <v>937</v>
      </c>
      <c r="AR239" s="114">
        <v>20</v>
      </c>
      <c r="AS239" s="152"/>
      <c r="AT239" s="138">
        <v>225</v>
      </c>
      <c r="AU239" s="191">
        <v>3764</v>
      </c>
      <c r="AV239" s="146"/>
      <c r="AW239" s="150">
        <v>4.266802443991853</v>
      </c>
      <c r="AX239" s="150">
        <v>39.3</v>
      </c>
      <c r="AY239" s="151">
        <v>-1512</v>
      </c>
      <c r="AZ239" s="152"/>
      <c r="BA239" s="152"/>
      <c r="BB239" s="152"/>
      <c r="BC239" s="150">
        <v>54.4</v>
      </c>
      <c r="BD239" s="151">
        <v>984</v>
      </c>
      <c r="BE239" s="151">
        <v>44</v>
      </c>
      <c r="BF239" s="154">
        <v>8224.229543039319</v>
      </c>
      <c r="BG239" s="146">
        <v>9333</v>
      </c>
      <c r="BH239" s="139">
        <v>8587</v>
      </c>
      <c r="BI239" s="139">
        <v>28725</v>
      </c>
      <c r="BJ239" s="139">
        <v>-20138</v>
      </c>
      <c r="BK239" s="146">
        <v>11067</v>
      </c>
      <c r="BL239" s="146">
        <v>11127</v>
      </c>
      <c r="BM239" s="160"/>
      <c r="BO239" s="138">
        <v>-204</v>
      </c>
      <c r="BP239" s="138">
        <v>6</v>
      </c>
      <c r="BQ239" s="139">
        <v>1858</v>
      </c>
      <c r="BR239" s="138">
        <v>1041</v>
      </c>
      <c r="BS239" s="139"/>
      <c r="BT239" s="139"/>
      <c r="BU239" s="139">
        <v>817</v>
      </c>
      <c r="BV239" s="139"/>
      <c r="BY239" s="138">
        <v>817</v>
      </c>
      <c r="BZ239" s="139">
        <v>3109</v>
      </c>
      <c r="CA239" s="139">
        <v>888</v>
      </c>
      <c r="CB239" s="176"/>
      <c r="CC239" s="138">
        <v>-1991</v>
      </c>
      <c r="CD239" s="151">
        <v>-254</v>
      </c>
      <c r="CE239" s="151">
        <v>3645</v>
      </c>
      <c r="CF239" s="138">
        <v>11067</v>
      </c>
      <c r="CG239" s="139">
        <v>9364</v>
      </c>
      <c r="CH239" s="139">
        <v>642</v>
      </c>
      <c r="CI239" s="139">
        <v>1061</v>
      </c>
      <c r="CJ239" s="114">
        <v>20</v>
      </c>
      <c r="CK239" s="152"/>
      <c r="CL239" s="138">
        <v>20</v>
      </c>
      <c r="CM239" s="190">
        <v>3729</v>
      </c>
      <c r="CN239" s="146"/>
      <c r="CO239" s="150">
        <v>3.16816431322208</v>
      </c>
      <c r="CP239" s="150">
        <v>37.041339916739275</v>
      </c>
      <c r="CQ239" s="151">
        <v>-1031.1075355323142</v>
      </c>
      <c r="CR239" s="152"/>
      <c r="CS239" s="152"/>
      <c r="CT239" s="152"/>
      <c r="CU239" s="150">
        <v>57.39282902741</v>
      </c>
      <c r="CV239" s="151">
        <v>1471.4400643604183</v>
      </c>
      <c r="CW239" s="151">
        <v>66.37353350566714</v>
      </c>
      <c r="CX239" s="154">
        <v>8091.713596138375</v>
      </c>
      <c r="CY239" s="146">
        <v>9031</v>
      </c>
      <c r="CZ239" s="139">
        <v>7756</v>
      </c>
      <c r="DA239" s="139">
        <v>28625</v>
      </c>
      <c r="DB239" s="139">
        <v>-20869</v>
      </c>
      <c r="DC239" s="146">
        <v>11772</v>
      </c>
      <c r="DD239" s="146">
        <v>11494</v>
      </c>
      <c r="DE239" s="160"/>
      <c r="DG239" s="138">
        <v>-144</v>
      </c>
      <c r="DH239" s="138">
        <v>17</v>
      </c>
      <c r="DI239" s="139">
        <v>2270</v>
      </c>
      <c r="DJ239" s="138">
        <v>1112</v>
      </c>
      <c r="DK239" s="139"/>
      <c r="DL239" s="139"/>
      <c r="DM239" s="139">
        <v>1158</v>
      </c>
      <c r="DN239" s="139"/>
      <c r="DQ239" s="138">
        <v>1158</v>
      </c>
      <c r="DR239" s="139">
        <v>4266</v>
      </c>
      <c r="DS239" s="139">
        <v>2159</v>
      </c>
      <c r="DT239" s="176"/>
      <c r="DU239" s="138">
        <v>533</v>
      </c>
      <c r="DV239" s="151">
        <v>-581</v>
      </c>
      <c r="DW239" s="138">
        <v>1834</v>
      </c>
      <c r="DX239" s="138">
        <v>11772</v>
      </c>
      <c r="DY239" s="146">
        <v>9909</v>
      </c>
      <c r="DZ239" s="196">
        <v>771</v>
      </c>
      <c r="EA239" s="146">
        <v>1092</v>
      </c>
      <c r="EB239" s="114">
        <v>20</v>
      </c>
      <c r="EC239" s="152"/>
      <c r="ED239" s="138">
        <v>32</v>
      </c>
      <c r="EE239" s="138">
        <v>16663</v>
      </c>
      <c r="EF239" s="138">
        <v>17170</v>
      </c>
      <c r="EG239" s="138">
        <v>17353</v>
      </c>
      <c r="EH239" s="138"/>
      <c r="EI239" s="138"/>
      <c r="EJ239" s="138"/>
      <c r="EK239" s="3">
        <v>-7449</v>
      </c>
      <c r="EL239" s="138">
        <v>864</v>
      </c>
      <c r="EM239" s="138">
        <v>754</v>
      </c>
      <c r="EN239" s="3">
        <v>-1832</v>
      </c>
      <c r="EO239" s="138">
        <v>3562</v>
      </c>
      <c r="EP239" s="138">
        <v>1027</v>
      </c>
      <c r="EQ239" s="3">
        <v>-804</v>
      </c>
      <c r="ES239" s="138">
        <v>479</v>
      </c>
      <c r="ET239" s="163">
        <v>5582</v>
      </c>
      <c r="EU239" s="163"/>
      <c r="EV239" s="138"/>
      <c r="EW239" s="138"/>
      <c r="EX239" s="138"/>
      <c r="EY239" s="138"/>
      <c r="EZ239" s="138">
        <v>9700</v>
      </c>
      <c r="FA239" s="138">
        <v>9520</v>
      </c>
      <c r="FB239" s="138">
        <v>180</v>
      </c>
      <c r="FC239" s="138">
        <v>788</v>
      </c>
      <c r="FD239" s="138">
        <v>9447</v>
      </c>
      <c r="FE239" s="138">
        <v>8866</v>
      </c>
      <c r="FF239" s="138">
        <v>581</v>
      </c>
      <c r="FG239" s="138">
        <v>849</v>
      </c>
      <c r="FH239" s="138">
        <v>8866</v>
      </c>
      <c r="FI239" s="138">
        <v>8205</v>
      </c>
      <c r="FJ239" s="138">
        <v>661</v>
      </c>
      <c r="FK239" s="138">
        <v>841</v>
      </c>
      <c r="FL239" s="147">
        <v>3488</v>
      </c>
      <c r="FM239" s="147">
        <v>3532.1466524973434</v>
      </c>
      <c r="FO239" s="181">
        <f t="shared" si="9"/>
        <v>495.45</v>
      </c>
      <c r="FP239" s="179">
        <f t="shared" si="11"/>
        <v>132.864038616251</v>
      </c>
      <c r="FR239" s="184"/>
      <c r="FV239" s="184">
        <v>30</v>
      </c>
      <c r="FW239" s="2">
        <f t="shared" si="10"/>
        <v>-30</v>
      </c>
    </row>
    <row r="240" spans="1:179" ht="12.75">
      <c r="A240" s="82">
        <v>740</v>
      </c>
      <c r="B240" s="80" t="s">
        <v>230</v>
      </c>
      <c r="C240" s="191">
        <v>27585</v>
      </c>
      <c r="D240" s="146"/>
      <c r="E240" s="150">
        <v>0.9001372683596431</v>
      </c>
      <c r="F240" s="150">
        <v>36.4</v>
      </c>
      <c r="G240" s="151">
        <v>-1964</v>
      </c>
      <c r="H240" s="152"/>
      <c r="I240" s="152"/>
      <c r="J240" s="152"/>
      <c r="K240" s="150">
        <v>65.7</v>
      </c>
      <c r="L240" s="151">
        <v>36</v>
      </c>
      <c r="M240" s="151">
        <v>2</v>
      </c>
      <c r="N240" s="154">
        <v>6082.218597063622</v>
      </c>
      <c r="O240" s="146">
        <v>42478</v>
      </c>
      <c r="P240" s="139">
        <v>24249</v>
      </c>
      <c r="Q240" s="139">
        <v>158695</v>
      </c>
      <c r="R240" s="139">
        <v>-134446</v>
      </c>
      <c r="S240" s="146">
        <v>88756</v>
      </c>
      <c r="T240" s="139">
        <v>51412</v>
      </c>
      <c r="U240" s="160"/>
      <c r="W240" s="138">
        <v>-1051</v>
      </c>
      <c r="X240" s="138">
        <v>395</v>
      </c>
      <c r="Y240" s="139">
        <v>5066</v>
      </c>
      <c r="Z240" s="138">
        <v>5407</v>
      </c>
      <c r="AA240" s="139"/>
      <c r="AC240" s="139">
        <v>-341</v>
      </c>
      <c r="AD240" s="138">
        <v>13</v>
      </c>
      <c r="AG240" s="139">
        <v>-328</v>
      </c>
      <c r="AH240" s="139">
        <v>1519</v>
      </c>
      <c r="AI240" s="139">
        <v>3366</v>
      </c>
      <c r="AJ240" s="176"/>
      <c r="AK240" s="139">
        <v>1017</v>
      </c>
      <c r="AL240" s="151">
        <v>-5648</v>
      </c>
      <c r="AM240" s="151">
        <v>-4438</v>
      </c>
      <c r="AN240" s="146">
        <v>88756</v>
      </c>
      <c r="AO240" s="139">
        <v>75945</v>
      </c>
      <c r="AP240" s="139">
        <v>6321</v>
      </c>
      <c r="AQ240" s="139">
        <v>6490</v>
      </c>
      <c r="AR240" s="114">
        <v>20.5</v>
      </c>
      <c r="AS240" s="152"/>
      <c r="AT240" s="138">
        <v>212</v>
      </c>
      <c r="AU240" s="191">
        <v>27421</v>
      </c>
      <c r="AV240" s="146"/>
      <c r="AW240" s="150">
        <v>0.22456043195348194</v>
      </c>
      <c r="AX240" s="150">
        <v>48.9</v>
      </c>
      <c r="AY240" s="151">
        <v>-2626</v>
      </c>
      <c r="AZ240" s="152"/>
      <c r="BA240" s="152"/>
      <c r="BB240" s="152"/>
      <c r="BC240" s="150">
        <v>56.6</v>
      </c>
      <c r="BD240" s="151">
        <v>24</v>
      </c>
      <c r="BE240" s="151">
        <v>1</v>
      </c>
      <c r="BF240" s="154">
        <v>7210.057984756209</v>
      </c>
      <c r="BG240" s="146">
        <v>44912</v>
      </c>
      <c r="BH240" s="139">
        <v>22699</v>
      </c>
      <c r="BI240" s="139">
        <v>168215</v>
      </c>
      <c r="BJ240" s="139">
        <v>-145516</v>
      </c>
      <c r="BK240" s="146">
        <v>89611</v>
      </c>
      <c r="BL240" s="146">
        <v>55491</v>
      </c>
      <c r="BM240" s="160"/>
      <c r="BO240" s="138">
        <v>-1311</v>
      </c>
      <c r="BP240" s="138">
        <v>1965</v>
      </c>
      <c r="BQ240" s="139">
        <v>240</v>
      </c>
      <c r="BR240" s="138">
        <v>6350</v>
      </c>
      <c r="BS240" s="139"/>
      <c r="BT240" s="138">
        <v>1125</v>
      </c>
      <c r="BU240" s="139">
        <v>-7235</v>
      </c>
      <c r="BV240" s="138">
        <v>13</v>
      </c>
      <c r="BY240" s="138">
        <v>-7222</v>
      </c>
      <c r="BZ240" s="139">
        <v>-5703</v>
      </c>
      <c r="CA240" s="139">
        <v>-448</v>
      </c>
      <c r="CB240" s="176"/>
      <c r="CC240" s="139">
        <v>-4685</v>
      </c>
      <c r="CD240" s="151">
        <v>-5841</v>
      </c>
      <c r="CE240" s="151">
        <v>-17963</v>
      </c>
      <c r="CF240" s="138">
        <v>89611</v>
      </c>
      <c r="CG240" s="139">
        <v>78321</v>
      </c>
      <c r="CH240" s="139">
        <v>4682</v>
      </c>
      <c r="CI240" s="139">
        <v>6608</v>
      </c>
      <c r="CJ240" s="114">
        <v>20.5</v>
      </c>
      <c r="CK240" s="152"/>
      <c r="CL240" s="138">
        <v>232</v>
      </c>
      <c r="CM240" s="190">
        <v>36256</v>
      </c>
      <c r="CN240" s="146"/>
      <c r="CO240" s="150">
        <v>0.6123283934903173</v>
      </c>
      <c r="CP240" s="150">
        <v>55.68240285427509</v>
      </c>
      <c r="CQ240" s="151">
        <v>-3297.3852603706973</v>
      </c>
      <c r="CR240" s="152"/>
      <c r="CS240" s="152"/>
      <c r="CT240" s="152"/>
      <c r="CU240" s="150">
        <v>49.717438505695846</v>
      </c>
      <c r="CV240" s="151">
        <v>7.0884819064430715</v>
      </c>
      <c r="CW240" s="151">
        <v>0.3485995443920458</v>
      </c>
      <c r="CX240" s="154">
        <v>7421.971535745808</v>
      </c>
      <c r="CY240" s="146">
        <v>61318</v>
      </c>
      <c r="CZ240" s="139">
        <v>31573</v>
      </c>
      <c r="DA240" s="139">
        <v>231104</v>
      </c>
      <c r="DB240" s="139">
        <v>-199531</v>
      </c>
      <c r="DC240" s="146">
        <v>125749</v>
      </c>
      <c r="DD240" s="146">
        <v>79796</v>
      </c>
      <c r="DE240" s="160"/>
      <c r="DG240" s="138">
        <v>-1788</v>
      </c>
      <c r="DH240" s="138">
        <v>620</v>
      </c>
      <c r="DI240" s="139">
        <v>4846</v>
      </c>
      <c r="DJ240" s="138">
        <v>7737</v>
      </c>
      <c r="DK240" s="139"/>
      <c r="DL240" s="138">
        <v>15</v>
      </c>
      <c r="DM240" s="139">
        <v>-2906</v>
      </c>
      <c r="DN240" s="138">
        <v>23</v>
      </c>
      <c r="DQ240" s="138">
        <v>-2883</v>
      </c>
      <c r="DR240" s="139">
        <v>-14871</v>
      </c>
      <c r="DS240" s="139">
        <v>3594</v>
      </c>
      <c r="DT240" s="176"/>
      <c r="DU240" s="139">
        <v>-645</v>
      </c>
      <c r="DV240" s="151">
        <v>-9110</v>
      </c>
      <c r="DW240" s="138">
        <v>-17899</v>
      </c>
      <c r="DX240" s="138">
        <v>125749</v>
      </c>
      <c r="DY240" s="146">
        <v>109095</v>
      </c>
      <c r="DZ240" s="196">
        <v>7239</v>
      </c>
      <c r="EA240" s="146">
        <v>9415</v>
      </c>
      <c r="EB240" s="114">
        <v>21</v>
      </c>
      <c r="EC240" s="152"/>
      <c r="ED240" s="138">
        <v>231</v>
      </c>
      <c r="EE240" s="138">
        <v>99797</v>
      </c>
      <c r="EF240" s="138">
        <v>105580</v>
      </c>
      <c r="EG240" s="138">
        <v>147127</v>
      </c>
      <c r="EH240" s="138"/>
      <c r="EI240" s="138"/>
      <c r="EJ240" s="138"/>
      <c r="EK240" s="3">
        <v>-10355</v>
      </c>
      <c r="EL240" s="138">
        <v>484</v>
      </c>
      <c r="EM240" s="138">
        <v>2067</v>
      </c>
      <c r="EN240" s="3">
        <v>-21978</v>
      </c>
      <c r="EO240" s="138">
        <v>3514</v>
      </c>
      <c r="EP240" s="138">
        <v>949</v>
      </c>
      <c r="EQ240" s="3">
        <v>-26967</v>
      </c>
      <c r="ER240" s="138">
        <v>3210</v>
      </c>
      <c r="ES240" s="138">
        <v>2264</v>
      </c>
      <c r="ET240" s="163">
        <v>10000</v>
      </c>
      <c r="EU240" s="163">
        <v>200</v>
      </c>
      <c r="EV240" s="138">
        <v>20000</v>
      </c>
      <c r="EW240" s="138">
        <v>4700</v>
      </c>
      <c r="EX240" s="138">
        <v>25000</v>
      </c>
      <c r="EY240" s="138">
        <v>-4339</v>
      </c>
      <c r="EZ240" s="138">
        <v>42559</v>
      </c>
      <c r="FA240" s="138">
        <v>30967</v>
      </c>
      <c r="FB240" s="138">
        <v>11592</v>
      </c>
      <c r="FC240" s="138">
        <v>3777</v>
      </c>
      <c r="FD240" s="138">
        <v>61417</v>
      </c>
      <c r="FE240" s="138">
        <v>43441</v>
      </c>
      <c r="FF240" s="138">
        <v>17976</v>
      </c>
      <c r="FG240" s="138">
        <v>3602</v>
      </c>
      <c r="FH240" s="138">
        <v>98980</v>
      </c>
      <c r="FI240" s="138">
        <v>62676</v>
      </c>
      <c r="FJ240" s="138">
        <v>36304</v>
      </c>
      <c r="FK240" s="138">
        <v>8531</v>
      </c>
      <c r="FL240" s="147">
        <v>5510</v>
      </c>
      <c r="FM240" s="147">
        <v>6188.213413077568</v>
      </c>
      <c r="FO240" s="181">
        <f t="shared" si="9"/>
        <v>5195</v>
      </c>
      <c r="FP240" s="179">
        <f t="shared" si="11"/>
        <v>143.28662842012358</v>
      </c>
      <c r="FR240" s="184"/>
      <c r="FV240" s="184">
        <v>5648</v>
      </c>
      <c r="FW240" s="2">
        <f t="shared" si="10"/>
        <v>-5648</v>
      </c>
    </row>
    <row r="241" spans="1:179" ht="12.75">
      <c r="A241" s="82">
        <v>742</v>
      </c>
      <c r="B241" s="80" t="s">
        <v>231</v>
      </c>
      <c r="C241" s="191">
        <v>1156</v>
      </c>
      <c r="D241" s="146"/>
      <c r="E241" s="150">
        <v>0.7481644640234949</v>
      </c>
      <c r="F241" s="150">
        <v>35.6</v>
      </c>
      <c r="G241" s="151">
        <v>-2234</v>
      </c>
      <c r="H241" s="152"/>
      <c r="I241" s="152"/>
      <c r="J241" s="152"/>
      <c r="K241" s="150">
        <v>49.8</v>
      </c>
      <c r="L241" s="151">
        <v>208</v>
      </c>
      <c r="M241" s="151">
        <v>8</v>
      </c>
      <c r="N241" s="154">
        <v>22113.321799307956</v>
      </c>
      <c r="O241" s="146">
        <v>3641</v>
      </c>
      <c r="P241" s="139">
        <v>1334</v>
      </c>
      <c r="Q241" s="139">
        <v>9298</v>
      </c>
      <c r="R241" s="139">
        <v>-7964</v>
      </c>
      <c r="S241" s="146">
        <v>3879</v>
      </c>
      <c r="T241" s="139">
        <v>3956</v>
      </c>
      <c r="U241" s="160"/>
      <c r="W241" s="138">
        <v>-26</v>
      </c>
      <c r="X241" s="138">
        <v>24</v>
      </c>
      <c r="Y241" s="139">
        <v>-131</v>
      </c>
      <c r="Z241" s="138">
        <v>232</v>
      </c>
      <c r="AC241" s="139">
        <v>-363</v>
      </c>
      <c r="AD241" s="138">
        <v>8</v>
      </c>
      <c r="AG241" s="139">
        <v>-355</v>
      </c>
      <c r="AH241" s="139">
        <v>338</v>
      </c>
      <c r="AI241" s="139">
        <v>-129</v>
      </c>
      <c r="AJ241" s="176"/>
      <c r="AK241" s="139">
        <v>333</v>
      </c>
      <c r="AL241" s="151">
        <v>-212</v>
      </c>
      <c r="AM241" s="151">
        <v>-1720</v>
      </c>
      <c r="AN241" s="146">
        <v>3879</v>
      </c>
      <c r="AO241" s="139">
        <v>2611</v>
      </c>
      <c r="AP241" s="139">
        <v>1047</v>
      </c>
      <c r="AQ241" s="139">
        <v>221</v>
      </c>
      <c r="AR241" s="114">
        <v>20.25</v>
      </c>
      <c r="AS241" s="152"/>
      <c r="AT241" s="138">
        <v>307</v>
      </c>
      <c r="AU241" s="191">
        <v>1127</v>
      </c>
      <c r="AV241" s="146"/>
      <c r="AW241" s="150">
        <v>-2.726937269372694</v>
      </c>
      <c r="AX241" s="150">
        <v>44.3</v>
      </c>
      <c r="AY241" s="151">
        <v>-3043</v>
      </c>
      <c r="AZ241" s="152"/>
      <c r="BA241" s="152"/>
      <c r="BB241" s="152"/>
      <c r="BC241" s="150">
        <v>35.2</v>
      </c>
      <c r="BD241" s="151">
        <v>232</v>
      </c>
      <c r="BE241" s="151">
        <v>9</v>
      </c>
      <c r="BF241" s="154">
        <v>9127.772848269742</v>
      </c>
      <c r="BG241" s="146">
        <v>3844</v>
      </c>
      <c r="BH241" s="139">
        <v>1408</v>
      </c>
      <c r="BI241" s="139">
        <v>9865</v>
      </c>
      <c r="BJ241" s="139">
        <v>-8457</v>
      </c>
      <c r="BK241" s="146">
        <v>3644</v>
      </c>
      <c r="BL241" s="146">
        <v>4059</v>
      </c>
      <c r="BM241" s="160"/>
      <c r="BO241" s="138">
        <v>-63</v>
      </c>
      <c r="BP241" s="138">
        <v>15</v>
      </c>
      <c r="BQ241" s="139">
        <v>-802</v>
      </c>
      <c r="BR241" s="138">
        <v>271</v>
      </c>
      <c r="BU241" s="139">
        <v>-1073</v>
      </c>
      <c r="BV241" s="138">
        <v>8</v>
      </c>
      <c r="BY241" s="138">
        <v>-1065</v>
      </c>
      <c r="BZ241" s="139">
        <v>-728</v>
      </c>
      <c r="CA241" s="139">
        <v>-805</v>
      </c>
      <c r="CB241" s="176"/>
      <c r="CC241" s="139">
        <v>95</v>
      </c>
      <c r="CD241" s="151">
        <v>-208</v>
      </c>
      <c r="CE241" s="151">
        <v>-884</v>
      </c>
      <c r="CF241" s="138">
        <v>3644</v>
      </c>
      <c r="CG241" s="139">
        <v>2773</v>
      </c>
      <c r="CH241" s="139">
        <v>601</v>
      </c>
      <c r="CI241" s="139">
        <v>270</v>
      </c>
      <c r="CJ241" s="114">
        <v>20.25</v>
      </c>
      <c r="CK241" s="152"/>
      <c r="CL241" s="138">
        <v>320</v>
      </c>
      <c r="CM241" s="190">
        <v>1126</v>
      </c>
      <c r="CN241" s="146"/>
      <c r="CO241" s="150">
        <v>0.2113095238095238</v>
      </c>
      <c r="CP241" s="150">
        <v>47.196164269335</v>
      </c>
      <c r="CQ241" s="151">
        <v>-3142.9840142095914</v>
      </c>
      <c r="CR241" s="152"/>
      <c r="CS241" s="152"/>
      <c r="CT241" s="152"/>
      <c r="CU241" s="150">
        <v>29.88929889298893</v>
      </c>
      <c r="CV241" s="151">
        <v>454.7069271758437</v>
      </c>
      <c r="CW241" s="151">
        <v>18.71232602383098</v>
      </c>
      <c r="CX241" s="154">
        <v>8869.449378330373</v>
      </c>
      <c r="CY241" s="146">
        <v>3724</v>
      </c>
      <c r="CZ241" s="139">
        <v>1481</v>
      </c>
      <c r="DA241" s="139">
        <v>9536</v>
      </c>
      <c r="DB241" s="139">
        <v>-8055</v>
      </c>
      <c r="DC241" s="146">
        <v>3624</v>
      </c>
      <c r="DD241" s="146">
        <v>4489</v>
      </c>
      <c r="DE241" s="160"/>
      <c r="DG241" s="138">
        <v>-80</v>
      </c>
      <c r="DH241" s="138">
        <v>13</v>
      </c>
      <c r="DI241" s="139">
        <v>-9</v>
      </c>
      <c r="DJ241" s="138">
        <v>264</v>
      </c>
      <c r="DM241" s="139">
        <v>-273</v>
      </c>
      <c r="DN241" s="138">
        <v>8</v>
      </c>
      <c r="DQ241" s="138">
        <v>-265</v>
      </c>
      <c r="DR241" s="139">
        <v>-993</v>
      </c>
      <c r="DS241" s="139">
        <v>-17</v>
      </c>
      <c r="DT241" s="176"/>
      <c r="DU241" s="139">
        <v>-129</v>
      </c>
      <c r="DV241" s="151">
        <v>-256</v>
      </c>
      <c r="DW241" s="138">
        <v>-120</v>
      </c>
      <c r="DX241" s="138">
        <v>3624</v>
      </c>
      <c r="DY241" s="146">
        <v>2633</v>
      </c>
      <c r="DZ241" s="196">
        <v>719</v>
      </c>
      <c r="EA241" s="146">
        <v>272</v>
      </c>
      <c r="EB241" s="114">
        <v>20.75</v>
      </c>
      <c r="EC241" s="152"/>
      <c r="ED241" s="138">
        <v>280</v>
      </c>
      <c r="EE241" s="138">
        <v>4774</v>
      </c>
      <c r="EF241" s="138">
        <v>5081</v>
      </c>
      <c r="EG241" s="138">
        <v>4835</v>
      </c>
      <c r="EH241" s="138"/>
      <c r="EI241" s="138">
        <v>160</v>
      </c>
      <c r="EJ241" s="138">
        <v>200</v>
      </c>
      <c r="EK241" s="3">
        <v>-1941</v>
      </c>
      <c r="EL241" s="138">
        <v>350</v>
      </c>
      <c r="EM241" s="138"/>
      <c r="EN241" s="3">
        <v>-150</v>
      </c>
      <c r="EO241" s="138">
        <v>32</v>
      </c>
      <c r="EP241" s="138">
        <v>40</v>
      </c>
      <c r="EQ241" s="3">
        <v>-113</v>
      </c>
      <c r="ES241" s="138">
        <v>10</v>
      </c>
      <c r="ET241" s="163">
        <v>990</v>
      </c>
      <c r="EU241" s="163"/>
      <c r="EV241" s="138">
        <v>1000</v>
      </c>
      <c r="EW241" s="138"/>
      <c r="EX241" s="138">
        <v>800</v>
      </c>
      <c r="EY241" s="138"/>
      <c r="EZ241" s="138">
        <v>2068</v>
      </c>
      <c r="FA241" s="138">
        <v>1860</v>
      </c>
      <c r="FB241" s="138">
        <v>208</v>
      </c>
      <c r="FC241" s="138">
        <v>98</v>
      </c>
      <c r="FD241" s="138">
        <v>2860</v>
      </c>
      <c r="FE241" s="138">
        <v>2605</v>
      </c>
      <c r="FF241" s="138">
        <v>255</v>
      </c>
      <c r="FG241" s="138">
        <v>94</v>
      </c>
      <c r="FH241" s="138">
        <v>3404</v>
      </c>
      <c r="FI241" s="138">
        <v>3099</v>
      </c>
      <c r="FJ241" s="138">
        <v>305</v>
      </c>
      <c r="FK241" s="138">
        <v>91</v>
      </c>
      <c r="FL241" s="147">
        <v>2761</v>
      </c>
      <c r="FM241" s="147">
        <v>3582.0763087843834</v>
      </c>
      <c r="FO241" s="181">
        <f t="shared" si="9"/>
        <v>126.89156626506023</v>
      </c>
      <c r="FP241" s="179">
        <f t="shared" si="11"/>
        <v>112.69233238460056</v>
      </c>
      <c r="FR241" s="184"/>
      <c r="FV241" s="184">
        <v>212</v>
      </c>
      <c r="FW241" s="2">
        <f t="shared" si="10"/>
        <v>-212</v>
      </c>
    </row>
    <row r="242" spans="1:179" ht="12.75">
      <c r="A242" s="82">
        <v>743</v>
      </c>
      <c r="B242" s="80" t="s">
        <v>232</v>
      </c>
      <c r="C242" s="191">
        <v>58703</v>
      </c>
      <c r="D242" s="146"/>
      <c r="E242" s="150">
        <v>0.5668716564171792</v>
      </c>
      <c r="F242" s="150">
        <v>49.9</v>
      </c>
      <c r="G242" s="151">
        <v>-2530</v>
      </c>
      <c r="H242" s="152"/>
      <c r="I242" s="152"/>
      <c r="J242" s="152"/>
      <c r="K242" s="150">
        <v>62.2</v>
      </c>
      <c r="L242" s="151">
        <v>2</v>
      </c>
      <c r="M242" s="151">
        <v>0</v>
      </c>
      <c r="N242" s="154">
        <v>5761.017324497896</v>
      </c>
      <c r="O242" s="146">
        <v>160826</v>
      </c>
      <c r="P242" s="139">
        <v>68578</v>
      </c>
      <c r="Q242" s="139">
        <v>331903</v>
      </c>
      <c r="R242" s="139">
        <v>-263325</v>
      </c>
      <c r="S242" s="146">
        <v>200694</v>
      </c>
      <c r="T242" s="139">
        <v>71621</v>
      </c>
      <c r="U242" s="160"/>
      <c r="W242" s="138">
        <v>1428</v>
      </c>
      <c r="X242" s="138">
        <v>883</v>
      </c>
      <c r="Y242" s="139">
        <v>11301</v>
      </c>
      <c r="Z242" s="138">
        <v>12039</v>
      </c>
      <c r="AA242" s="139">
        <v>31110</v>
      </c>
      <c r="AB242" s="139"/>
      <c r="AC242" s="139">
        <v>30372</v>
      </c>
      <c r="AD242" s="139">
        <v>2748</v>
      </c>
      <c r="AE242" s="138">
        <v>1000</v>
      </c>
      <c r="AF242" s="138">
        <v>8</v>
      </c>
      <c r="AG242" s="139">
        <v>34128</v>
      </c>
      <c r="AH242" s="139">
        <v>63413</v>
      </c>
      <c r="AI242" s="139">
        <v>4350</v>
      </c>
      <c r="AJ242" s="176"/>
      <c r="AK242" s="138">
        <v>4590</v>
      </c>
      <c r="AL242" s="151">
        <v>-19964</v>
      </c>
      <c r="AM242" s="151">
        <v>52570</v>
      </c>
      <c r="AN242" s="146">
        <v>200694</v>
      </c>
      <c r="AO242" s="139">
        <v>169077</v>
      </c>
      <c r="AP242" s="139">
        <v>17182</v>
      </c>
      <c r="AQ242" s="139">
        <v>14435</v>
      </c>
      <c r="AR242" s="114">
        <v>19.25</v>
      </c>
      <c r="AS242" s="152"/>
      <c r="AT242" s="138">
        <v>207</v>
      </c>
      <c r="AU242" s="191">
        <v>59556</v>
      </c>
      <c r="AV242" s="146"/>
      <c r="AW242" s="150">
        <v>0.12530644523527085</v>
      </c>
      <c r="AX242" s="150">
        <v>58.3</v>
      </c>
      <c r="AY242" s="151">
        <v>-2971</v>
      </c>
      <c r="AZ242" s="152"/>
      <c r="BA242" s="152"/>
      <c r="BB242" s="152"/>
      <c r="BC242" s="150">
        <v>56.8</v>
      </c>
      <c r="BD242" s="151">
        <v>1</v>
      </c>
      <c r="BE242" s="151">
        <v>0</v>
      </c>
      <c r="BF242" s="154">
        <v>6926.741218349116</v>
      </c>
      <c r="BG242" s="146">
        <v>171886</v>
      </c>
      <c r="BH242" s="139">
        <v>67405</v>
      </c>
      <c r="BI242" s="139">
        <v>352703</v>
      </c>
      <c r="BJ242" s="139">
        <v>-285298</v>
      </c>
      <c r="BK242" s="146">
        <v>205246</v>
      </c>
      <c r="BL242" s="146">
        <v>75862</v>
      </c>
      <c r="BM242" s="160"/>
      <c r="BO242" s="138">
        <v>1421</v>
      </c>
      <c r="BP242" s="138">
        <v>2044</v>
      </c>
      <c r="BQ242" s="139">
        <v>-725</v>
      </c>
      <c r="BR242" s="138">
        <v>13049</v>
      </c>
      <c r="BS242" s="139"/>
      <c r="BT242" s="139"/>
      <c r="BU242" s="139">
        <v>-13774</v>
      </c>
      <c r="BV242" s="139">
        <v>35</v>
      </c>
      <c r="BW242" s="138">
        <v>-5</v>
      </c>
      <c r="BX242" s="138">
        <v>81</v>
      </c>
      <c r="BY242" s="138">
        <v>-13663</v>
      </c>
      <c r="BZ242" s="139">
        <v>49750</v>
      </c>
      <c r="CA242" s="139">
        <v>-6797</v>
      </c>
      <c r="CB242" s="176"/>
      <c r="CC242" s="138">
        <v>-4488</v>
      </c>
      <c r="CD242" s="151">
        <v>-21396</v>
      </c>
      <c r="CE242" s="151">
        <v>-30309</v>
      </c>
      <c r="CF242" s="138">
        <v>205246</v>
      </c>
      <c r="CG242" s="139">
        <v>177820</v>
      </c>
      <c r="CH242" s="139">
        <v>11959</v>
      </c>
      <c r="CI242" s="139">
        <v>15467</v>
      </c>
      <c r="CJ242" s="114">
        <v>19.75</v>
      </c>
      <c r="CK242" s="152"/>
      <c r="CL242" s="138">
        <v>247</v>
      </c>
      <c r="CM242" s="190">
        <v>60354</v>
      </c>
      <c r="CN242" s="146"/>
      <c r="CO242" s="150">
        <v>0.1490204630538291</v>
      </c>
      <c r="CP242" s="150">
        <v>63.017026949029095</v>
      </c>
      <c r="CQ242" s="151">
        <v>-3502.153958312622</v>
      </c>
      <c r="CR242" s="152"/>
      <c r="CS242" s="152"/>
      <c r="CT242" s="152"/>
      <c r="CU242" s="150">
        <v>52.308559488611024</v>
      </c>
      <c r="CV242" s="151">
        <v>1.04384133611691</v>
      </c>
      <c r="CW242" s="151">
        <v>0.05302736807150566</v>
      </c>
      <c r="CX242" s="154">
        <v>7185.00845014415</v>
      </c>
      <c r="CY242" s="146">
        <v>174644</v>
      </c>
      <c r="CZ242" s="139">
        <v>66796</v>
      </c>
      <c r="DA242" s="139">
        <v>366618</v>
      </c>
      <c r="DB242" s="139">
        <v>-299822</v>
      </c>
      <c r="DC242" s="146">
        <v>219626</v>
      </c>
      <c r="DD242" s="146">
        <v>77413</v>
      </c>
      <c r="DE242" s="160"/>
      <c r="DG242" s="138">
        <v>2065</v>
      </c>
      <c r="DH242" s="138">
        <v>1426</v>
      </c>
      <c r="DI242" s="139">
        <v>708</v>
      </c>
      <c r="DJ242" s="138">
        <v>15793</v>
      </c>
      <c r="DK242" s="139"/>
      <c r="DL242" s="139"/>
      <c r="DM242" s="139">
        <v>-15085</v>
      </c>
      <c r="DN242" s="139">
        <v>35</v>
      </c>
      <c r="DO242" s="138">
        <v>1925</v>
      </c>
      <c r="DP242" s="138">
        <v>12</v>
      </c>
      <c r="DQ242" s="138">
        <v>-13113</v>
      </c>
      <c r="DR242" s="139">
        <v>36172</v>
      </c>
      <c r="DS242" s="139">
        <v>-3988</v>
      </c>
      <c r="DT242" s="176"/>
      <c r="DU242" s="138">
        <v>8234</v>
      </c>
      <c r="DV242" s="151">
        <v>-24121</v>
      </c>
      <c r="DW242" s="138">
        <v>-27689</v>
      </c>
      <c r="DX242" s="138">
        <v>219626</v>
      </c>
      <c r="DY242" s="146">
        <v>189663</v>
      </c>
      <c r="DZ242" s="196">
        <v>12041</v>
      </c>
      <c r="EA242" s="146">
        <v>17922</v>
      </c>
      <c r="EB242" s="114">
        <v>19.75</v>
      </c>
      <c r="EC242" s="152"/>
      <c r="ED242" s="138">
        <v>272</v>
      </c>
      <c r="EE242" s="138">
        <v>117599</v>
      </c>
      <c r="EF242" s="138">
        <v>120762</v>
      </c>
      <c r="EG242" s="138">
        <v>130868</v>
      </c>
      <c r="EH242" s="138"/>
      <c r="EI242" s="138"/>
      <c r="EJ242" s="138"/>
      <c r="EK242" s="3">
        <v>-23019</v>
      </c>
      <c r="EL242" s="138">
        <v>1413</v>
      </c>
      <c r="EM242" s="138">
        <v>69826</v>
      </c>
      <c r="EN242" s="3">
        <v>-33913</v>
      </c>
      <c r="EO242" s="138">
        <v>1804</v>
      </c>
      <c r="EP242" s="138">
        <v>8597</v>
      </c>
      <c r="EQ242" s="3">
        <v>-30710</v>
      </c>
      <c r="ER242" s="138">
        <v>1075</v>
      </c>
      <c r="ES242" s="138">
        <v>5934</v>
      </c>
      <c r="ET242" s="163">
        <v>25648</v>
      </c>
      <c r="EU242" s="163">
        <v>-2745</v>
      </c>
      <c r="EV242" s="138">
        <v>28873</v>
      </c>
      <c r="EW242" s="138">
        <v>23570</v>
      </c>
      <c r="EX242" s="138">
        <v>51629</v>
      </c>
      <c r="EY242" s="138">
        <v>-4679</v>
      </c>
      <c r="EZ242" s="138">
        <v>127266</v>
      </c>
      <c r="FA242" s="138">
        <v>105330</v>
      </c>
      <c r="FB242" s="138">
        <v>21936</v>
      </c>
      <c r="FC242" s="138">
        <v>85239</v>
      </c>
      <c r="FD242" s="138">
        <v>158315</v>
      </c>
      <c r="FE242" s="138">
        <v>110772</v>
      </c>
      <c r="FF242" s="138">
        <v>47543</v>
      </c>
      <c r="FG242" s="138">
        <v>83570</v>
      </c>
      <c r="FH242" s="138">
        <v>181143</v>
      </c>
      <c r="FI242" s="138">
        <v>134124</v>
      </c>
      <c r="FJ242" s="138">
        <v>47019</v>
      </c>
      <c r="FK242" s="138">
        <v>89980</v>
      </c>
      <c r="FL242" s="147">
        <v>5421</v>
      </c>
      <c r="FM242" s="147">
        <v>6045.100409698435</v>
      </c>
      <c r="FO242" s="181">
        <f t="shared" si="9"/>
        <v>9603.189873417721</v>
      </c>
      <c r="FP242" s="179">
        <f t="shared" si="11"/>
        <v>159.11438965797996</v>
      </c>
      <c r="FR242" s="184"/>
      <c r="FV242" s="184">
        <v>19964</v>
      </c>
      <c r="FW242" s="2">
        <f t="shared" si="10"/>
        <v>-19964</v>
      </c>
    </row>
    <row r="243" spans="1:179" ht="12.75">
      <c r="A243" s="82">
        <v>746</v>
      </c>
      <c r="B243" s="80" t="s">
        <v>233</v>
      </c>
      <c r="C243" s="191">
        <v>5285</v>
      </c>
      <c r="D243" s="146"/>
      <c r="E243" s="150">
        <v>1.0718990120746432</v>
      </c>
      <c r="F243" s="150">
        <v>63.3</v>
      </c>
      <c r="G243" s="151">
        <v>-3194</v>
      </c>
      <c r="H243" s="152"/>
      <c r="I243" s="152"/>
      <c r="J243" s="152"/>
      <c r="K243" s="150">
        <v>32.1</v>
      </c>
      <c r="L243" s="151">
        <v>409</v>
      </c>
      <c r="M243" s="151">
        <v>22</v>
      </c>
      <c r="N243" s="154">
        <v>25151.5610217597</v>
      </c>
      <c r="O243" s="146">
        <v>8454</v>
      </c>
      <c r="P243" s="139">
        <v>2881</v>
      </c>
      <c r="Q243" s="139">
        <v>30949</v>
      </c>
      <c r="R243" s="139">
        <v>-28068</v>
      </c>
      <c r="S243" s="146">
        <v>14148</v>
      </c>
      <c r="T243" s="139">
        <v>16077</v>
      </c>
      <c r="U243" s="160"/>
      <c r="W243" s="138">
        <v>-356</v>
      </c>
      <c r="X243" s="138">
        <v>34</v>
      </c>
      <c r="Y243" s="139">
        <v>1835</v>
      </c>
      <c r="Z243" s="138">
        <v>730</v>
      </c>
      <c r="AB243" s="139"/>
      <c r="AC243" s="139">
        <v>1105</v>
      </c>
      <c r="AD243" s="139">
        <v>10</v>
      </c>
      <c r="AG243" s="139">
        <v>1115</v>
      </c>
      <c r="AH243" s="139">
        <v>110</v>
      </c>
      <c r="AI243" s="139">
        <v>1671</v>
      </c>
      <c r="AJ243" s="176"/>
      <c r="AK243" s="138">
        <v>1087</v>
      </c>
      <c r="AL243" s="151">
        <v>-1442</v>
      </c>
      <c r="AM243" s="151">
        <v>-270</v>
      </c>
      <c r="AN243" s="146">
        <v>14148</v>
      </c>
      <c r="AO243" s="139">
        <v>11609</v>
      </c>
      <c r="AP243" s="139">
        <v>1935</v>
      </c>
      <c r="AQ243" s="139">
        <v>604</v>
      </c>
      <c r="AR243" s="114">
        <v>21</v>
      </c>
      <c r="AS243" s="152"/>
      <c r="AT243" s="138">
        <v>100</v>
      </c>
      <c r="AU243" s="191">
        <v>5241</v>
      </c>
      <c r="AV243" s="146"/>
      <c r="AW243" s="150">
        <v>0.08527131782945736</v>
      </c>
      <c r="AX243" s="150">
        <v>66.5</v>
      </c>
      <c r="AY243" s="151">
        <v>-3369</v>
      </c>
      <c r="AZ243" s="152"/>
      <c r="BA243" s="152"/>
      <c r="BB243" s="152"/>
      <c r="BC243" s="150">
        <v>29.2</v>
      </c>
      <c r="BD243" s="151">
        <v>431</v>
      </c>
      <c r="BE243" s="151">
        <v>23</v>
      </c>
      <c r="BF243" s="154">
        <v>6844.495325319595</v>
      </c>
      <c r="BG243" s="146">
        <v>8962</v>
      </c>
      <c r="BH243" s="139">
        <v>2884</v>
      </c>
      <c r="BI243" s="139">
        <v>33090</v>
      </c>
      <c r="BJ243" s="139">
        <v>-30206</v>
      </c>
      <c r="BK243" s="146">
        <v>14052</v>
      </c>
      <c r="BL243" s="146">
        <v>16152</v>
      </c>
      <c r="BM243" s="160"/>
      <c r="BO243" s="138">
        <v>-258</v>
      </c>
      <c r="BP243" s="138">
        <v>10</v>
      </c>
      <c r="BQ243" s="139">
        <v>-250</v>
      </c>
      <c r="BR243" s="138">
        <v>727</v>
      </c>
      <c r="BT243" s="139"/>
      <c r="BU243" s="139">
        <v>-977</v>
      </c>
      <c r="BV243" s="139">
        <v>10</v>
      </c>
      <c r="BY243" s="138">
        <v>-967</v>
      </c>
      <c r="BZ243" s="139">
        <v>-857</v>
      </c>
      <c r="CA243" s="139">
        <v>-279</v>
      </c>
      <c r="CB243" s="176"/>
      <c r="CC243" s="138">
        <v>-174</v>
      </c>
      <c r="CD243" s="151">
        <v>-930</v>
      </c>
      <c r="CE243" s="151">
        <v>-737</v>
      </c>
      <c r="CF243" s="138">
        <v>14052</v>
      </c>
      <c r="CG243" s="139">
        <v>11868</v>
      </c>
      <c r="CH243" s="139">
        <v>1474</v>
      </c>
      <c r="CI243" s="139">
        <v>710</v>
      </c>
      <c r="CJ243" s="114">
        <v>21.25</v>
      </c>
      <c r="CK243" s="152"/>
      <c r="CL243" s="138">
        <v>269</v>
      </c>
      <c r="CM243" s="190">
        <v>5198</v>
      </c>
      <c r="CN243" s="146"/>
      <c r="CO243" s="150">
        <v>1.4022617124394183</v>
      </c>
      <c r="CP243" s="150">
        <v>66.88353936239427</v>
      </c>
      <c r="CQ243" s="151">
        <v>-3180.454020777222</v>
      </c>
      <c r="CR243" s="152"/>
      <c r="CS243" s="152"/>
      <c r="CT243" s="152"/>
      <c r="CU243" s="150">
        <v>29.125763762198478</v>
      </c>
      <c r="CV243" s="151">
        <v>1100.6156213928432</v>
      </c>
      <c r="CW243" s="151">
        <v>58.43309267965078</v>
      </c>
      <c r="CX243" s="154">
        <v>6874.951904578685</v>
      </c>
      <c r="CY243" s="146">
        <v>8932</v>
      </c>
      <c r="CZ243" s="139">
        <v>2969</v>
      </c>
      <c r="DA243" s="139">
        <v>33708</v>
      </c>
      <c r="DB243" s="139">
        <v>-30739</v>
      </c>
      <c r="DC243" s="146">
        <v>14905</v>
      </c>
      <c r="DD243" s="146">
        <v>17477</v>
      </c>
      <c r="DE243" s="160"/>
      <c r="DG243" s="138">
        <v>-226</v>
      </c>
      <c r="DH243" s="138">
        <v>9</v>
      </c>
      <c r="DI243" s="139">
        <v>1426</v>
      </c>
      <c r="DJ243" s="138">
        <v>759</v>
      </c>
      <c r="DL243" s="139"/>
      <c r="DM243" s="139">
        <v>667</v>
      </c>
      <c r="DN243" s="139">
        <v>7</v>
      </c>
      <c r="DQ243" s="138">
        <v>674</v>
      </c>
      <c r="DR243" s="139">
        <v>-183</v>
      </c>
      <c r="DS243" s="139">
        <v>1406</v>
      </c>
      <c r="DT243" s="176"/>
      <c r="DU243" s="138">
        <v>694</v>
      </c>
      <c r="DV243" s="151">
        <v>-929</v>
      </c>
      <c r="DW243" s="138">
        <v>790</v>
      </c>
      <c r="DX243" s="138">
        <v>14905</v>
      </c>
      <c r="DY243" s="146">
        <v>12429</v>
      </c>
      <c r="DZ243" s="196">
        <v>1635</v>
      </c>
      <c r="EA243" s="146">
        <v>841</v>
      </c>
      <c r="EB243" s="114">
        <v>21.75</v>
      </c>
      <c r="EC243" s="152"/>
      <c r="ED243" s="138">
        <v>158</v>
      </c>
      <c r="EE243" s="138">
        <v>20423</v>
      </c>
      <c r="EF243" s="138">
        <v>21978</v>
      </c>
      <c r="EG243" s="138">
        <v>22663</v>
      </c>
      <c r="EH243" s="138"/>
      <c r="EI243" s="138"/>
      <c r="EJ243" s="138">
        <v>680</v>
      </c>
      <c r="EK243" s="3">
        <v>-2343</v>
      </c>
      <c r="EL243" s="138">
        <v>183</v>
      </c>
      <c r="EM243" s="138">
        <v>219</v>
      </c>
      <c r="EN243" s="3">
        <v>-1220</v>
      </c>
      <c r="EO243" s="138">
        <v>726</v>
      </c>
      <c r="EP243" s="138">
        <v>36</v>
      </c>
      <c r="EQ243" s="3">
        <v>-790</v>
      </c>
      <c r="ER243" s="138">
        <v>143</v>
      </c>
      <c r="ES243" s="138">
        <v>31</v>
      </c>
      <c r="ET243" s="163"/>
      <c r="EU243" s="163">
        <v>1100</v>
      </c>
      <c r="EV243" s="138"/>
      <c r="EW243" s="138">
        <v>1747</v>
      </c>
      <c r="EX243" s="138"/>
      <c r="EY243" s="138">
        <v>3000</v>
      </c>
      <c r="EZ243" s="138">
        <v>18041</v>
      </c>
      <c r="FA243" s="138">
        <v>9359</v>
      </c>
      <c r="FB243" s="138">
        <v>8682</v>
      </c>
      <c r="FC243" s="138">
        <v>4149</v>
      </c>
      <c r="FD243" s="138">
        <v>18859</v>
      </c>
      <c r="FE243" s="138">
        <v>8430</v>
      </c>
      <c r="FF243" s="138">
        <v>10429</v>
      </c>
      <c r="FG243" s="138">
        <v>4142</v>
      </c>
      <c r="FH243" s="138">
        <v>20929</v>
      </c>
      <c r="FI243" s="138">
        <v>7499</v>
      </c>
      <c r="FJ243" s="138">
        <v>13430</v>
      </c>
      <c r="FK243" s="138">
        <v>3861</v>
      </c>
      <c r="FL243" s="147">
        <v>6493</v>
      </c>
      <c r="FM243" s="147">
        <v>6723.907651211601</v>
      </c>
      <c r="FO243" s="181">
        <f t="shared" si="9"/>
        <v>571.448275862069</v>
      </c>
      <c r="FP243" s="179">
        <f t="shared" si="11"/>
        <v>109.93618235130222</v>
      </c>
      <c r="FR243" s="184"/>
      <c r="FV243" s="184">
        <v>1442</v>
      </c>
      <c r="FW243" s="2">
        <f t="shared" si="10"/>
        <v>-1442</v>
      </c>
    </row>
    <row r="244" spans="1:179" ht="12.75">
      <c r="A244" s="82">
        <v>747</v>
      </c>
      <c r="B244" s="80" t="s">
        <v>234</v>
      </c>
      <c r="C244" s="191">
        <v>1661</v>
      </c>
      <c r="D244" s="146"/>
      <c r="E244" s="150">
        <v>0.7688787185354691</v>
      </c>
      <c r="F244" s="150">
        <v>24.1</v>
      </c>
      <c r="G244" s="151">
        <v>-527</v>
      </c>
      <c r="H244" s="152"/>
      <c r="I244" s="152"/>
      <c r="J244" s="152"/>
      <c r="K244" s="150">
        <v>76.2</v>
      </c>
      <c r="L244" s="151">
        <v>576</v>
      </c>
      <c r="M244" s="151">
        <v>31</v>
      </c>
      <c r="N244" s="154">
        <v>8639.37387116195</v>
      </c>
      <c r="O244" s="146">
        <v>2652</v>
      </c>
      <c r="P244" s="139">
        <v>1511</v>
      </c>
      <c r="Q244" s="139">
        <v>10521</v>
      </c>
      <c r="R244" s="139">
        <v>-9010</v>
      </c>
      <c r="S244" s="146">
        <v>3789</v>
      </c>
      <c r="T244" s="139">
        <v>5112</v>
      </c>
      <c r="U244" s="160"/>
      <c r="W244" s="138">
        <v>-17</v>
      </c>
      <c r="X244" s="138">
        <v>26</v>
      </c>
      <c r="Y244" s="139">
        <v>-100</v>
      </c>
      <c r="Z244" s="138">
        <v>444</v>
      </c>
      <c r="AA244" s="139"/>
      <c r="AB244" s="139"/>
      <c r="AC244" s="139">
        <v>-544</v>
      </c>
      <c r="AE244" s="139"/>
      <c r="AF244" s="139"/>
      <c r="AG244" s="139">
        <v>-544</v>
      </c>
      <c r="AH244" s="139">
        <v>1405</v>
      </c>
      <c r="AI244" s="139">
        <v>-107</v>
      </c>
      <c r="AJ244" s="176"/>
      <c r="AK244" s="139">
        <v>32</v>
      </c>
      <c r="AL244" s="151">
        <v>-1</v>
      </c>
      <c r="AM244" s="151">
        <v>-710</v>
      </c>
      <c r="AN244" s="146">
        <v>3789</v>
      </c>
      <c r="AO244" s="139">
        <v>2804</v>
      </c>
      <c r="AP244" s="139">
        <v>654</v>
      </c>
      <c r="AQ244" s="139">
        <v>331</v>
      </c>
      <c r="AR244" s="114">
        <v>20</v>
      </c>
      <c r="AS244" s="152"/>
      <c r="AT244" s="138">
        <v>299</v>
      </c>
      <c r="AU244" s="191">
        <v>1641</v>
      </c>
      <c r="AV244" s="146"/>
      <c r="AW244" s="150">
        <v>0.6097560975609756</v>
      </c>
      <c r="AX244" s="150">
        <v>25.7</v>
      </c>
      <c r="AY244" s="151">
        <v>-790</v>
      </c>
      <c r="AZ244" s="152"/>
      <c r="BA244" s="152"/>
      <c r="BB244" s="152"/>
      <c r="BC244" s="150">
        <v>73</v>
      </c>
      <c r="BD244" s="151">
        <v>551</v>
      </c>
      <c r="BE244" s="151">
        <v>29</v>
      </c>
      <c r="BF244" s="154">
        <v>6999.390615478367</v>
      </c>
      <c r="BG244" s="146">
        <v>2723</v>
      </c>
      <c r="BH244" s="139">
        <v>1697</v>
      </c>
      <c r="BI244" s="139">
        <v>11000</v>
      </c>
      <c r="BJ244" s="139">
        <v>-9303</v>
      </c>
      <c r="BK244" s="146">
        <v>3978</v>
      </c>
      <c r="BL244" s="146">
        <v>5325</v>
      </c>
      <c r="BM244" s="160"/>
      <c r="BO244" s="138">
        <v>-24</v>
      </c>
      <c r="BP244" s="138">
        <v>9</v>
      </c>
      <c r="BQ244" s="139">
        <v>-15</v>
      </c>
      <c r="BR244" s="138">
        <v>452</v>
      </c>
      <c r="BS244" s="139"/>
      <c r="BT244" s="139"/>
      <c r="BU244" s="139">
        <v>-467</v>
      </c>
      <c r="BW244" s="139"/>
      <c r="BX244" s="139"/>
      <c r="BY244" s="138">
        <v>-467</v>
      </c>
      <c r="BZ244" s="139">
        <v>938</v>
      </c>
      <c r="CA244" s="139">
        <v>-26</v>
      </c>
      <c r="CB244" s="176"/>
      <c r="CC244" s="139">
        <v>57</v>
      </c>
      <c r="CD244" s="151">
        <v>-1</v>
      </c>
      <c r="CE244" s="151">
        <v>-423</v>
      </c>
      <c r="CF244" s="138">
        <v>3978</v>
      </c>
      <c r="CG244" s="139">
        <v>3244</v>
      </c>
      <c r="CH244" s="139">
        <v>399</v>
      </c>
      <c r="CI244" s="139">
        <v>335</v>
      </c>
      <c r="CJ244" s="114">
        <v>20</v>
      </c>
      <c r="CK244" s="152"/>
      <c r="CL244" s="138">
        <v>244</v>
      </c>
      <c r="CM244" s="190">
        <v>1632</v>
      </c>
      <c r="CN244" s="146"/>
      <c r="CO244" s="150">
        <v>17.261904761904763</v>
      </c>
      <c r="CP244" s="150">
        <v>32.482800661847946</v>
      </c>
      <c r="CQ244" s="151">
        <v>-1286.1519607843138</v>
      </c>
      <c r="CR244" s="152"/>
      <c r="CS244" s="152"/>
      <c r="CT244" s="152"/>
      <c r="CU244" s="150">
        <v>67.97446022011258</v>
      </c>
      <c r="CV244" s="151">
        <v>512.8676470588235</v>
      </c>
      <c r="CW244" s="151">
        <v>24.747266099635482</v>
      </c>
      <c r="CX244" s="154">
        <v>7564.338235294118</v>
      </c>
      <c r="CY244" s="146">
        <v>2804</v>
      </c>
      <c r="CZ244" s="139">
        <v>1658</v>
      </c>
      <c r="DA244" s="139">
        <v>10781</v>
      </c>
      <c r="DB244" s="139">
        <v>-9123</v>
      </c>
      <c r="DC244" s="146">
        <v>4310</v>
      </c>
      <c r="DD244" s="146">
        <v>5515</v>
      </c>
      <c r="DE244" s="160"/>
      <c r="DG244" s="138">
        <v>-33</v>
      </c>
      <c r="DH244" s="138">
        <v>17</v>
      </c>
      <c r="DI244" s="139">
        <v>686</v>
      </c>
      <c r="DJ244" s="138">
        <v>476</v>
      </c>
      <c r="DK244" s="139"/>
      <c r="DL244" s="139"/>
      <c r="DM244" s="139">
        <v>210</v>
      </c>
      <c r="DO244" s="139"/>
      <c r="DP244" s="139"/>
      <c r="DQ244" s="138">
        <v>210</v>
      </c>
      <c r="DR244" s="139">
        <v>1148</v>
      </c>
      <c r="DS244" s="139">
        <v>675</v>
      </c>
      <c r="DT244" s="176"/>
      <c r="DU244" s="139">
        <v>-170</v>
      </c>
      <c r="DV244" s="151">
        <v>-2</v>
      </c>
      <c r="DW244" s="138">
        <v>-794</v>
      </c>
      <c r="DX244" s="138">
        <v>4310</v>
      </c>
      <c r="DY244" s="146">
        <v>3558</v>
      </c>
      <c r="DZ244" s="196">
        <v>404</v>
      </c>
      <c r="EA244" s="146">
        <v>348</v>
      </c>
      <c r="EB244" s="114">
        <v>21</v>
      </c>
      <c r="EC244" s="152"/>
      <c r="ED244" s="138">
        <v>82</v>
      </c>
      <c r="EE244" s="138">
        <v>6962</v>
      </c>
      <c r="EF244" s="138">
        <v>7070</v>
      </c>
      <c r="EG244" s="138">
        <v>6783</v>
      </c>
      <c r="EH244" s="138"/>
      <c r="EI244" s="138"/>
      <c r="EJ244" s="138"/>
      <c r="EK244" s="3">
        <v>-668</v>
      </c>
      <c r="EL244" s="138">
        <v>58</v>
      </c>
      <c r="EM244" s="138">
        <v>7</v>
      </c>
      <c r="EN244" s="3">
        <v>-436</v>
      </c>
      <c r="EO244" s="138"/>
      <c r="EP244" s="138">
        <v>39</v>
      </c>
      <c r="EQ244" s="3">
        <v>-1502</v>
      </c>
      <c r="ES244" s="138">
        <v>33</v>
      </c>
      <c r="ET244" s="163"/>
      <c r="EU244" s="163"/>
      <c r="EV244" s="138"/>
      <c r="EW244" s="138"/>
      <c r="EX244" s="138">
        <v>1200</v>
      </c>
      <c r="EY244" s="138"/>
      <c r="EZ244" s="138">
        <v>1276</v>
      </c>
      <c r="FA244" s="138">
        <v>1275</v>
      </c>
      <c r="FB244" s="138">
        <v>1</v>
      </c>
      <c r="FC244" s="138">
        <v>0</v>
      </c>
      <c r="FD244" s="138">
        <v>1275</v>
      </c>
      <c r="FE244" s="138">
        <v>1273</v>
      </c>
      <c r="FF244" s="138">
        <v>2</v>
      </c>
      <c r="FG244" s="138">
        <v>0</v>
      </c>
      <c r="FH244" s="138">
        <v>2474</v>
      </c>
      <c r="FI244" s="138">
        <v>2412</v>
      </c>
      <c r="FJ244" s="138">
        <v>62</v>
      </c>
      <c r="FK244" s="138">
        <v>0</v>
      </c>
      <c r="FL244" s="147">
        <v>829</v>
      </c>
      <c r="FM244" s="147">
        <v>848.2632541133455</v>
      </c>
      <c r="FO244" s="181">
        <f t="shared" si="9"/>
        <v>169.42857142857142</v>
      </c>
      <c r="FP244" s="179">
        <f t="shared" si="11"/>
        <v>103.81652661064425</v>
      </c>
      <c r="FR244" s="184"/>
      <c r="FV244" s="184">
        <v>1</v>
      </c>
      <c r="FW244" s="2">
        <f t="shared" si="10"/>
        <v>-1</v>
      </c>
    </row>
    <row r="245" spans="1:179" ht="12.75">
      <c r="A245" s="82">
        <v>748</v>
      </c>
      <c r="B245" s="80" t="s">
        <v>235</v>
      </c>
      <c r="C245" s="191">
        <v>5639</v>
      </c>
      <c r="D245" s="146"/>
      <c r="E245" s="150">
        <v>-0.949648711943794</v>
      </c>
      <c r="F245" s="150">
        <v>42.5</v>
      </c>
      <c r="G245" s="151">
        <v>-1458</v>
      </c>
      <c r="H245" s="152"/>
      <c r="I245" s="152"/>
      <c r="J245" s="152"/>
      <c r="K245" s="150">
        <v>53.9</v>
      </c>
      <c r="L245" s="151">
        <v>746</v>
      </c>
      <c r="M245" s="151">
        <v>39</v>
      </c>
      <c r="N245" s="154">
        <v>6548.324170952297</v>
      </c>
      <c r="O245" s="146">
        <v>10803</v>
      </c>
      <c r="P245" s="139">
        <v>3988</v>
      </c>
      <c r="Q245" s="139">
        <v>35252</v>
      </c>
      <c r="R245" s="139">
        <v>-31264</v>
      </c>
      <c r="S245" s="146">
        <v>14529</v>
      </c>
      <c r="T245" s="139">
        <v>16562</v>
      </c>
      <c r="U245" s="160"/>
      <c r="W245" s="138">
        <v>-36</v>
      </c>
      <c r="X245" s="138">
        <v>-643</v>
      </c>
      <c r="Y245" s="139">
        <v>-852</v>
      </c>
      <c r="Z245" s="138">
        <v>1012</v>
      </c>
      <c r="AA245" s="138">
        <v>248</v>
      </c>
      <c r="AC245" s="139">
        <v>-1616</v>
      </c>
      <c r="AD245" s="139"/>
      <c r="AG245" s="139">
        <v>-1616</v>
      </c>
      <c r="AH245" s="139">
        <v>1239</v>
      </c>
      <c r="AI245" s="139">
        <v>-961</v>
      </c>
      <c r="AJ245" s="176"/>
      <c r="AK245" s="139">
        <v>263</v>
      </c>
      <c r="AL245" s="151">
        <v>-813</v>
      </c>
      <c r="AM245" s="151">
        <v>-2254</v>
      </c>
      <c r="AN245" s="146">
        <v>14529</v>
      </c>
      <c r="AO245" s="139">
        <v>12919</v>
      </c>
      <c r="AP245" s="139">
        <v>974</v>
      </c>
      <c r="AQ245" s="139">
        <v>636</v>
      </c>
      <c r="AR245" s="114">
        <v>20</v>
      </c>
      <c r="AS245" s="152"/>
      <c r="AT245" s="138">
        <v>310</v>
      </c>
      <c r="AU245" s="191">
        <v>5597</v>
      </c>
      <c r="AV245" s="146"/>
      <c r="AW245" s="150">
        <v>0.4190207156308851</v>
      </c>
      <c r="AX245" s="150">
        <v>45.3</v>
      </c>
      <c r="AY245" s="151">
        <v>-1557</v>
      </c>
      <c r="AZ245" s="152"/>
      <c r="BA245" s="152"/>
      <c r="BB245" s="152"/>
      <c r="BC245" s="150">
        <v>50.9</v>
      </c>
      <c r="BD245" s="151">
        <v>1086</v>
      </c>
      <c r="BE245" s="151">
        <v>57</v>
      </c>
      <c r="BF245" s="154">
        <v>6947.829194211185</v>
      </c>
      <c r="BG245" s="146">
        <v>10659</v>
      </c>
      <c r="BH245" s="139">
        <v>3666</v>
      </c>
      <c r="BI245" s="139">
        <v>35444</v>
      </c>
      <c r="BJ245" s="139">
        <v>-31778</v>
      </c>
      <c r="BK245" s="146">
        <v>15645</v>
      </c>
      <c r="BL245" s="146">
        <v>16619</v>
      </c>
      <c r="BM245" s="160"/>
      <c r="BO245" s="138">
        <v>-19</v>
      </c>
      <c r="BP245" s="138">
        <v>220</v>
      </c>
      <c r="BQ245" s="139">
        <v>687</v>
      </c>
      <c r="BR245" s="138">
        <v>1258</v>
      </c>
      <c r="BU245" s="139">
        <v>-571</v>
      </c>
      <c r="BV245" s="139"/>
      <c r="BY245" s="138">
        <v>-571</v>
      </c>
      <c r="BZ245" s="139">
        <v>668</v>
      </c>
      <c r="CA245" s="139">
        <v>674</v>
      </c>
      <c r="CB245" s="176"/>
      <c r="CC245" s="139">
        <v>972</v>
      </c>
      <c r="CD245" s="151">
        <v>-1921</v>
      </c>
      <c r="CE245" s="151">
        <v>-477</v>
      </c>
      <c r="CF245" s="138">
        <v>15645</v>
      </c>
      <c r="CG245" s="139">
        <v>14087</v>
      </c>
      <c r="CH245" s="139">
        <v>689</v>
      </c>
      <c r="CI245" s="139">
        <v>869</v>
      </c>
      <c r="CJ245" s="114">
        <v>21</v>
      </c>
      <c r="CK245" s="152"/>
      <c r="CL245" s="138">
        <v>172</v>
      </c>
      <c r="CM245" s="190">
        <v>5593</v>
      </c>
      <c r="CN245" s="146"/>
      <c r="CO245" s="150">
        <v>0.5122950819672131</v>
      </c>
      <c r="CP245" s="150">
        <v>49.03742873667686</v>
      </c>
      <c r="CQ245" s="151">
        <v>-1918.648310387985</v>
      </c>
      <c r="CR245" s="152"/>
      <c r="CS245" s="152"/>
      <c r="CT245" s="152"/>
      <c r="CU245" s="150">
        <v>46.205135906292234</v>
      </c>
      <c r="CV245" s="151">
        <v>974.6111210441624</v>
      </c>
      <c r="CW245" s="151">
        <v>48.959471430680644</v>
      </c>
      <c r="CX245" s="154">
        <v>7265.8680493473985</v>
      </c>
      <c r="CY245" s="146">
        <v>10804</v>
      </c>
      <c r="CZ245" s="139">
        <v>3587</v>
      </c>
      <c r="DA245" s="139">
        <v>35956</v>
      </c>
      <c r="DB245" s="139">
        <v>-32369</v>
      </c>
      <c r="DC245" s="146">
        <v>15969</v>
      </c>
      <c r="DD245" s="146">
        <v>16753</v>
      </c>
      <c r="DE245" s="160"/>
      <c r="DG245" s="138">
        <v>14</v>
      </c>
      <c r="DH245" s="138">
        <v>99</v>
      </c>
      <c r="DI245" s="139">
        <v>466</v>
      </c>
      <c r="DJ245" s="138">
        <v>2100</v>
      </c>
      <c r="DM245" s="139">
        <v>-1634</v>
      </c>
      <c r="DN245" s="139">
        <v>-200</v>
      </c>
      <c r="DP245" s="138">
        <v>200</v>
      </c>
      <c r="DQ245" s="138">
        <v>-1634</v>
      </c>
      <c r="DR245" s="139">
        <v>-966</v>
      </c>
      <c r="DS245" s="139">
        <v>462</v>
      </c>
      <c r="DT245" s="176"/>
      <c r="DU245" s="139">
        <v>-131</v>
      </c>
      <c r="DV245" s="151">
        <v>-1061</v>
      </c>
      <c r="DW245" s="138">
        <v>-2736</v>
      </c>
      <c r="DX245" s="138">
        <v>15969</v>
      </c>
      <c r="DY245" s="146">
        <v>14354</v>
      </c>
      <c r="DZ245" s="196">
        <v>675</v>
      </c>
      <c r="EA245" s="146">
        <v>940</v>
      </c>
      <c r="EB245" s="114">
        <v>21</v>
      </c>
      <c r="EC245" s="152"/>
      <c r="ED245" s="138">
        <v>250</v>
      </c>
      <c r="EE245" s="138">
        <v>21315</v>
      </c>
      <c r="EF245" s="138">
        <v>21757</v>
      </c>
      <c r="EG245" s="138">
        <v>21676</v>
      </c>
      <c r="EH245" s="138"/>
      <c r="EI245" s="138"/>
      <c r="EJ245" s="138"/>
      <c r="EK245" s="3">
        <v>-2395</v>
      </c>
      <c r="EL245" s="138">
        <v>406</v>
      </c>
      <c r="EM245" s="138">
        <v>696</v>
      </c>
      <c r="EN245" s="3">
        <v>-1207</v>
      </c>
      <c r="EO245" s="138"/>
      <c r="EP245" s="138">
        <v>56</v>
      </c>
      <c r="EQ245" s="3">
        <v>-3308</v>
      </c>
      <c r="ER245" s="138">
        <v>105</v>
      </c>
      <c r="ES245" s="138">
        <v>5</v>
      </c>
      <c r="ET245" s="163"/>
      <c r="EU245" s="163">
        <v>2087</v>
      </c>
      <c r="EV245" s="138">
        <v>6100</v>
      </c>
      <c r="EW245" s="138">
        <v>-2929</v>
      </c>
      <c r="EX245" s="138"/>
      <c r="EY245" s="138">
        <v>3300</v>
      </c>
      <c r="EZ245" s="138">
        <v>11043</v>
      </c>
      <c r="FA245" s="138">
        <v>4199</v>
      </c>
      <c r="FB245" s="138">
        <v>6844</v>
      </c>
      <c r="FC245" s="138">
        <v>2526</v>
      </c>
      <c r="FD245" s="138">
        <v>12293</v>
      </c>
      <c r="FE245" s="138">
        <v>8932</v>
      </c>
      <c r="FF245" s="138">
        <v>3361</v>
      </c>
      <c r="FG245" s="138">
        <v>2524</v>
      </c>
      <c r="FH245" s="138">
        <v>14532</v>
      </c>
      <c r="FI245" s="138">
        <v>7965</v>
      </c>
      <c r="FJ245" s="138">
        <v>6567</v>
      </c>
      <c r="FK245" s="138">
        <v>1831</v>
      </c>
      <c r="FL245" s="147">
        <v>3906</v>
      </c>
      <c r="FM245" s="147">
        <v>4067.178845810256</v>
      </c>
      <c r="FO245" s="181">
        <f t="shared" si="9"/>
        <v>683.5238095238095</v>
      </c>
      <c r="FP245" s="179">
        <f t="shared" si="11"/>
        <v>122.21058636220445</v>
      </c>
      <c r="FR245" s="184"/>
      <c r="FV245" s="184">
        <v>813</v>
      </c>
      <c r="FW245" s="2">
        <f t="shared" si="10"/>
        <v>-813</v>
      </c>
    </row>
    <row r="246" spans="1:179" ht="12.75">
      <c r="A246" s="183">
        <v>791</v>
      </c>
      <c r="B246" s="86" t="s">
        <v>387</v>
      </c>
      <c r="C246" s="191">
        <v>6061</v>
      </c>
      <c r="D246" s="146"/>
      <c r="E246" s="150">
        <v>1.2903225806451613</v>
      </c>
      <c r="F246" s="150">
        <v>35.9</v>
      </c>
      <c r="G246" s="151">
        <v>-2401</v>
      </c>
      <c r="H246" s="152"/>
      <c r="I246" s="152"/>
      <c r="J246" s="152"/>
      <c r="K246" s="150">
        <v>52.3</v>
      </c>
      <c r="L246" s="151">
        <v>156</v>
      </c>
      <c r="M246" s="151">
        <v>7</v>
      </c>
      <c r="N246" s="154">
        <v>7765.550239234451</v>
      </c>
      <c r="O246" s="146">
        <v>14955</v>
      </c>
      <c r="P246" s="139">
        <v>11191</v>
      </c>
      <c r="Q246" s="139">
        <v>45129</v>
      </c>
      <c r="R246" s="139">
        <v>-33938</v>
      </c>
      <c r="S246" s="146">
        <v>16098</v>
      </c>
      <c r="T246" s="139">
        <v>20739</v>
      </c>
      <c r="U246" s="160"/>
      <c r="W246" s="138">
        <v>-225</v>
      </c>
      <c r="X246" s="138">
        <v>19</v>
      </c>
      <c r="Y246" s="139">
        <v>2693</v>
      </c>
      <c r="Z246" s="138">
        <v>1100</v>
      </c>
      <c r="AC246" s="139">
        <v>1593</v>
      </c>
      <c r="AD246" s="139">
        <v>64</v>
      </c>
      <c r="AF246" s="139"/>
      <c r="AG246" s="139">
        <v>1657</v>
      </c>
      <c r="AH246" s="139">
        <v>477</v>
      </c>
      <c r="AI246" s="139">
        <v>2488</v>
      </c>
      <c r="AJ246" s="176"/>
      <c r="AK246" s="139">
        <v>1762</v>
      </c>
      <c r="AL246" s="151">
        <v>-2054</v>
      </c>
      <c r="AM246" s="151">
        <v>2485</v>
      </c>
      <c r="AN246" s="146">
        <v>16098</v>
      </c>
      <c r="AO246" s="139">
        <v>13715</v>
      </c>
      <c r="AP246" s="139">
        <v>1477</v>
      </c>
      <c r="AQ246" s="139">
        <v>906</v>
      </c>
      <c r="AR246" s="114">
        <v>21</v>
      </c>
      <c r="AS246" s="152"/>
      <c r="AT246" s="138">
        <v>59</v>
      </c>
      <c r="AU246" s="191">
        <v>5983</v>
      </c>
      <c r="AV246" s="146"/>
      <c r="AW246" s="150">
        <v>0.49651741293532337</v>
      </c>
      <c r="AX246" s="150">
        <v>32.9</v>
      </c>
      <c r="AY246" s="151">
        <v>-2296</v>
      </c>
      <c r="AZ246" s="152"/>
      <c r="BA246" s="152"/>
      <c r="BB246" s="152"/>
      <c r="BC246" s="150">
        <v>54.8</v>
      </c>
      <c r="BD246" s="151">
        <v>24</v>
      </c>
      <c r="BE246" s="151">
        <v>1</v>
      </c>
      <c r="BF246" s="154">
        <v>8173.491559418352</v>
      </c>
      <c r="BG246" s="146">
        <v>14772</v>
      </c>
      <c r="BH246" s="139">
        <v>9508</v>
      </c>
      <c r="BI246" s="139">
        <v>46262</v>
      </c>
      <c r="BJ246" s="139">
        <v>-36754</v>
      </c>
      <c r="BK246" s="146">
        <v>16206</v>
      </c>
      <c r="BL246" s="146">
        <v>21388</v>
      </c>
      <c r="BM246" s="160"/>
      <c r="BO246" s="138">
        <v>-143</v>
      </c>
      <c r="BP246" s="138">
        <v>138</v>
      </c>
      <c r="BQ246" s="139">
        <v>835</v>
      </c>
      <c r="BR246" s="138">
        <v>1125</v>
      </c>
      <c r="BU246" s="139">
        <v>-290</v>
      </c>
      <c r="BV246" s="139">
        <v>397</v>
      </c>
      <c r="BX246" s="139"/>
      <c r="BY246" s="138">
        <v>107</v>
      </c>
      <c r="BZ246" s="139">
        <v>584</v>
      </c>
      <c r="CA246" s="139">
        <v>384</v>
      </c>
      <c r="CB246" s="176"/>
      <c r="CC246" s="139">
        <v>138</v>
      </c>
      <c r="CD246" s="151">
        <v>-1847</v>
      </c>
      <c r="CE246" s="151">
        <v>608</v>
      </c>
      <c r="CF246" s="138">
        <v>16206</v>
      </c>
      <c r="CG246" s="139">
        <v>14328</v>
      </c>
      <c r="CH246" s="139">
        <v>746</v>
      </c>
      <c r="CI246" s="139">
        <v>1132</v>
      </c>
      <c r="CJ246" s="114">
        <v>21.75</v>
      </c>
      <c r="CK246" s="152"/>
      <c r="CL246" s="138">
        <v>160</v>
      </c>
      <c r="CM246" s="190">
        <v>5857</v>
      </c>
      <c r="CN246" s="146"/>
      <c r="CO246" s="150">
        <v>-0.2007150153217569</v>
      </c>
      <c r="CP246" s="150">
        <v>35.53703392677192</v>
      </c>
      <c r="CQ246" s="151">
        <v>-2583.916680894656</v>
      </c>
      <c r="CR246" s="152"/>
      <c r="CS246" s="152"/>
      <c r="CT246" s="152"/>
      <c r="CU246" s="150">
        <v>50.303100955933786</v>
      </c>
      <c r="CV246" s="151">
        <v>5.463547891411986</v>
      </c>
      <c r="CW246" s="151">
        <v>0.22883115865365777</v>
      </c>
      <c r="CX246" s="154">
        <v>8714.700358545331</v>
      </c>
      <c r="CY246" s="146">
        <v>15038</v>
      </c>
      <c r="CZ246" s="139">
        <v>9558</v>
      </c>
      <c r="DA246" s="139">
        <v>47946</v>
      </c>
      <c r="DB246" s="139">
        <v>-38388</v>
      </c>
      <c r="DC246" s="146">
        <v>15844</v>
      </c>
      <c r="DD246" s="146">
        <v>22230</v>
      </c>
      <c r="DE246" s="160"/>
      <c r="DG246" s="138">
        <v>-76</v>
      </c>
      <c r="DH246" s="138">
        <v>-83</v>
      </c>
      <c r="DI246" s="139">
        <v>-473</v>
      </c>
      <c r="DJ246" s="138">
        <v>1195</v>
      </c>
      <c r="DM246" s="139">
        <v>-1668</v>
      </c>
      <c r="DN246" s="139">
        <v>108</v>
      </c>
      <c r="DP246" s="139"/>
      <c r="DQ246" s="138">
        <v>-1560</v>
      </c>
      <c r="DR246" s="139">
        <v>-976</v>
      </c>
      <c r="DS246" s="139">
        <v>-474</v>
      </c>
      <c r="DT246" s="176"/>
      <c r="DU246" s="139">
        <v>-157</v>
      </c>
      <c r="DV246" s="151">
        <v>-1878</v>
      </c>
      <c r="DW246" s="138">
        <v>-1448</v>
      </c>
      <c r="DX246" s="138">
        <v>15844</v>
      </c>
      <c r="DY246" s="146">
        <v>13994</v>
      </c>
      <c r="DZ246" s="196">
        <v>796</v>
      </c>
      <c r="EA246" s="146">
        <v>1054</v>
      </c>
      <c r="EB246" s="114">
        <v>21.75</v>
      </c>
      <c r="EC246" s="152"/>
      <c r="ED246" s="138">
        <v>289</v>
      </c>
      <c r="EE246" s="138">
        <v>26457</v>
      </c>
      <c r="EF246" s="138">
        <v>27565</v>
      </c>
      <c r="EG246" s="138">
        <v>28938</v>
      </c>
      <c r="EH246" s="138">
        <v>650</v>
      </c>
      <c r="EI246" s="138"/>
      <c r="EJ246" s="138"/>
      <c r="EK246" s="3">
        <v>-1143</v>
      </c>
      <c r="EL246" s="138">
        <v>243</v>
      </c>
      <c r="EM246" s="138">
        <v>897</v>
      </c>
      <c r="EN246" s="3">
        <v>-588</v>
      </c>
      <c r="EO246" s="138"/>
      <c r="EP246" s="138">
        <v>811</v>
      </c>
      <c r="EQ246" s="3">
        <v>-975</v>
      </c>
      <c r="ES246" s="138">
        <v>1</v>
      </c>
      <c r="ET246" s="163"/>
      <c r="EU246" s="163">
        <v>-2278</v>
      </c>
      <c r="EV246" s="138"/>
      <c r="EW246" s="138"/>
      <c r="EX246" s="138">
        <v>672</v>
      </c>
      <c r="EY246" s="138">
        <v>2000</v>
      </c>
      <c r="EZ246" s="138">
        <v>12752</v>
      </c>
      <c r="FA246" s="138">
        <v>10905</v>
      </c>
      <c r="FB246" s="138">
        <v>1847</v>
      </c>
      <c r="FC246" s="138">
        <v>980</v>
      </c>
      <c r="FD246" s="138">
        <v>10904</v>
      </c>
      <c r="FE246" s="138">
        <v>9028</v>
      </c>
      <c r="FF246" s="138">
        <v>1876</v>
      </c>
      <c r="FG246" s="138">
        <v>830</v>
      </c>
      <c r="FH246" s="138">
        <v>11698</v>
      </c>
      <c r="FI246" s="138">
        <v>8129</v>
      </c>
      <c r="FJ246" s="138">
        <v>3569</v>
      </c>
      <c r="FK246" s="138">
        <v>769</v>
      </c>
      <c r="FL246" s="147">
        <v>4472</v>
      </c>
      <c r="FM246" s="147">
        <v>4218.953702156109</v>
      </c>
      <c r="FO246" s="181">
        <f t="shared" si="9"/>
        <v>643.4022988505748</v>
      </c>
      <c r="FP246" s="179">
        <f t="shared" si="11"/>
        <v>109.8518522879588</v>
      </c>
      <c r="FR246" s="184"/>
      <c r="FV246" s="184">
        <v>2054</v>
      </c>
      <c r="FW246" s="2">
        <f t="shared" si="10"/>
        <v>-2054</v>
      </c>
    </row>
    <row r="247" spans="1:179" ht="12.75">
      <c r="A247" s="82">
        <v>749</v>
      </c>
      <c r="B247" s="80" t="s">
        <v>236</v>
      </c>
      <c r="C247" s="191">
        <v>21311</v>
      </c>
      <c r="D247" s="146"/>
      <c r="E247" s="150">
        <v>1.0565422254440016</v>
      </c>
      <c r="F247" s="150">
        <v>39.4</v>
      </c>
      <c r="G247" s="151">
        <v>-2140</v>
      </c>
      <c r="H247" s="152"/>
      <c r="I247" s="152"/>
      <c r="J247" s="152"/>
      <c r="K247" s="150">
        <v>55.5</v>
      </c>
      <c r="L247" s="151">
        <v>472</v>
      </c>
      <c r="M247" s="151">
        <v>22</v>
      </c>
      <c r="N247" s="154">
        <v>7311.951574304349</v>
      </c>
      <c r="O247" s="146">
        <v>70545</v>
      </c>
      <c r="P247" s="139">
        <v>60625</v>
      </c>
      <c r="Q247" s="139">
        <v>151782</v>
      </c>
      <c r="R247" s="139">
        <v>-91157</v>
      </c>
      <c r="S247" s="146">
        <v>69781</v>
      </c>
      <c r="T247" s="139">
        <v>27339</v>
      </c>
      <c r="U247" s="160"/>
      <c r="W247" s="138">
        <v>-887</v>
      </c>
      <c r="X247" s="138">
        <v>582</v>
      </c>
      <c r="Y247" s="139">
        <v>5658</v>
      </c>
      <c r="Z247" s="138">
        <v>4711</v>
      </c>
      <c r="AB247" s="138">
        <v>130</v>
      </c>
      <c r="AC247" s="139">
        <v>817</v>
      </c>
      <c r="AF247" s="138">
        <v>-318</v>
      </c>
      <c r="AG247" s="139">
        <v>499</v>
      </c>
      <c r="AH247" s="139">
        <v>10765</v>
      </c>
      <c r="AI247" s="139">
        <v>4411</v>
      </c>
      <c r="AJ247" s="176"/>
      <c r="AK247" s="139">
        <v>1759</v>
      </c>
      <c r="AL247" s="151">
        <v>-5346</v>
      </c>
      <c r="AM247" s="151">
        <v>-5640</v>
      </c>
      <c r="AN247" s="146">
        <v>69781</v>
      </c>
      <c r="AO247" s="139">
        <v>61448</v>
      </c>
      <c r="AP247" s="139">
        <v>5207</v>
      </c>
      <c r="AQ247" s="139">
        <v>3126</v>
      </c>
      <c r="AR247" s="114">
        <v>19.5</v>
      </c>
      <c r="AS247" s="152"/>
      <c r="AT247" s="138">
        <v>156</v>
      </c>
      <c r="AU247" s="191">
        <v>21431</v>
      </c>
      <c r="AV247" s="146"/>
      <c r="AW247" s="150">
        <v>-0.13554917247982493</v>
      </c>
      <c r="AX247" s="150">
        <v>40.1</v>
      </c>
      <c r="AY247" s="151">
        <v>-2509</v>
      </c>
      <c r="AZ247" s="152"/>
      <c r="BA247" s="152"/>
      <c r="BB247" s="152"/>
      <c r="BC247" s="150">
        <v>52.1</v>
      </c>
      <c r="BD247" s="151">
        <v>174</v>
      </c>
      <c r="BE247" s="151">
        <v>8</v>
      </c>
      <c r="BF247" s="154">
        <v>8352.993327422892</v>
      </c>
      <c r="BG247" s="146">
        <v>75107</v>
      </c>
      <c r="BH247" s="139">
        <v>66368</v>
      </c>
      <c r="BI247" s="139">
        <v>164440</v>
      </c>
      <c r="BJ247" s="139">
        <v>-98072</v>
      </c>
      <c r="BK247" s="146">
        <v>71345</v>
      </c>
      <c r="BL247" s="146">
        <v>25000</v>
      </c>
      <c r="BM247" s="160"/>
      <c r="BO247" s="138">
        <v>-847</v>
      </c>
      <c r="BP247" s="138">
        <v>650</v>
      </c>
      <c r="BQ247" s="139">
        <v>-1924</v>
      </c>
      <c r="BR247" s="138">
        <v>4858</v>
      </c>
      <c r="BT247" s="138">
        <v>16</v>
      </c>
      <c r="BU247" s="139">
        <v>-6798</v>
      </c>
      <c r="BW247" s="138">
        <v>1000</v>
      </c>
      <c r="BX247" s="138">
        <v>30</v>
      </c>
      <c r="BY247" s="138">
        <v>-5768</v>
      </c>
      <c r="BZ247" s="139">
        <v>4997</v>
      </c>
      <c r="CA247" s="139">
        <v>-2830</v>
      </c>
      <c r="CB247" s="176"/>
      <c r="CC247" s="139">
        <v>-1239</v>
      </c>
      <c r="CD247" s="151">
        <v>-6378</v>
      </c>
      <c r="CE247" s="151">
        <v>-8703</v>
      </c>
      <c r="CF247" s="138">
        <v>71345</v>
      </c>
      <c r="CG247" s="139">
        <v>66139</v>
      </c>
      <c r="CH247" s="139">
        <v>1966</v>
      </c>
      <c r="CI247" s="139">
        <v>3240</v>
      </c>
      <c r="CJ247" s="114">
        <v>20.25</v>
      </c>
      <c r="CK247" s="152"/>
      <c r="CL247" s="138">
        <v>281</v>
      </c>
      <c r="CM247" s="190">
        <v>21567</v>
      </c>
      <c r="CN247" s="146"/>
      <c r="CO247" s="150">
        <v>0.06736870527879034</v>
      </c>
      <c r="CP247" s="150">
        <v>58.18286576805408</v>
      </c>
      <c r="CQ247" s="151">
        <v>-2924.3752028562153</v>
      </c>
      <c r="CR247" s="152"/>
      <c r="CS247" s="152"/>
      <c r="CT247" s="152"/>
      <c r="CU247" s="150">
        <v>47.73086475502371</v>
      </c>
      <c r="CV247" s="151">
        <v>180.089952241851</v>
      </c>
      <c r="CW247" s="151">
        <v>10.065176644325797</v>
      </c>
      <c r="CX247" s="154">
        <v>6530.718226920759</v>
      </c>
      <c r="CY247" s="146">
        <v>57749</v>
      </c>
      <c r="CZ247" s="139">
        <v>19643</v>
      </c>
      <c r="DA247" s="139">
        <v>123590</v>
      </c>
      <c r="DB247" s="139">
        <v>-103947</v>
      </c>
      <c r="DC247" s="146">
        <v>77983</v>
      </c>
      <c r="DD247" s="146">
        <v>25755</v>
      </c>
      <c r="DE247" s="160"/>
      <c r="DG247" s="138">
        <v>-808</v>
      </c>
      <c r="DH247" s="138">
        <v>668</v>
      </c>
      <c r="DI247" s="139">
        <v>-349</v>
      </c>
      <c r="DJ247" s="138">
        <v>4998</v>
      </c>
      <c r="DM247" s="139">
        <v>-5347</v>
      </c>
      <c r="DP247" s="138">
        <v>449</v>
      </c>
      <c r="DQ247" s="138">
        <v>-4898</v>
      </c>
      <c r="DR247" s="139">
        <v>99</v>
      </c>
      <c r="DS247" s="139">
        <v>-1355</v>
      </c>
      <c r="DT247" s="176"/>
      <c r="DU247" s="139">
        <v>2961</v>
      </c>
      <c r="DV247" s="151">
        <v>-6559</v>
      </c>
      <c r="DW247" s="138">
        <v>-9228</v>
      </c>
      <c r="DX247" s="138">
        <v>77983</v>
      </c>
      <c r="DY247" s="146">
        <v>71264</v>
      </c>
      <c r="DZ247" s="196">
        <v>3286</v>
      </c>
      <c r="EA247" s="146">
        <v>3433</v>
      </c>
      <c r="EB247" s="114">
        <v>20.25</v>
      </c>
      <c r="EC247" s="152"/>
      <c r="ED247" s="138">
        <v>281</v>
      </c>
      <c r="EE247" s="138">
        <v>60808</v>
      </c>
      <c r="EF247" s="138">
        <v>66178</v>
      </c>
      <c r="EG247" s="138">
        <v>48117</v>
      </c>
      <c r="EH247" s="138"/>
      <c r="EI247" s="138"/>
      <c r="EJ247" s="138"/>
      <c r="EK247" s="3">
        <v>-12126</v>
      </c>
      <c r="EL247" s="138">
        <v>615</v>
      </c>
      <c r="EM247" s="138">
        <v>1460</v>
      </c>
      <c r="EN247" s="3">
        <v>-7391</v>
      </c>
      <c r="EO247" s="138">
        <v>312</v>
      </c>
      <c r="EP247" s="138">
        <v>1206</v>
      </c>
      <c r="EQ247" s="3">
        <v>-10002</v>
      </c>
      <c r="ER247" s="138">
        <v>946</v>
      </c>
      <c r="ES247" s="138">
        <v>1183</v>
      </c>
      <c r="ET247" s="163">
        <v>12000</v>
      </c>
      <c r="EU247" s="163"/>
      <c r="EV247" s="138">
        <v>7500</v>
      </c>
      <c r="EW247" s="138"/>
      <c r="EX247" s="138">
        <v>17000</v>
      </c>
      <c r="EY247" s="138"/>
      <c r="EZ247" s="138">
        <v>42148</v>
      </c>
      <c r="FA247" s="138">
        <v>36135</v>
      </c>
      <c r="FB247" s="138">
        <v>6013</v>
      </c>
      <c r="FC247" s="138">
        <v>5376</v>
      </c>
      <c r="FD247" s="138">
        <v>43271</v>
      </c>
      <c r="FE247" s="138">
        <v>36711</v>
      </c>
      <c r="FF247" s="138">
        <v>6560</v>
      </c>
      <c r="FG247" s="138">
        <v>4926</v>
      </c>
      <c r="FH247" s="138">
        <v>53711</v>
      </c>
      <c r="FI247" s="138">
        <v>45423</v>
      </c>
      <c r="FJ247" s="138">
        <v>8288</v>
      </c>
      <c r="FK247" s="138">
        <v>4926</v>
      </c>
      <c r="FL247" s="147">
        <v>3282</v>
      </c>
      <c r="FM247" s="147">
        <v>3481.498763473473</v>
      </c>
      <c r="FO247" s="181">
        <f t="shared" si="9"/>
        <v>3519.2098765432097</v>
      </c>
      <c r="FP247" s="179">
        <f t="shared" si="11"/>
        <v>163.1756793500816</v>
      </c>
      <c r="FR247" s="184"/>
      <c r="FV247" s="184">
        <v>5346</v>
      </c>
      <c r="FW247" s="2">
        <f t="shared" si="10"/>
        <v>-5346</v>
      </c>
    </row>
    <row r="248" spans="1:179" ht="12.75">
      <c r="A248" s="82">
        <v>751</v>
      </c>
      <c r="B248" s="80" t="s">
        <v>237</v>
      </c>
      <c r="C248" s="191">
        <v>3441</v>
      </c>
      <c r="D248" s="146"/>
      <c r="E248" s="150">
        <v>1.1890389197776012</v>
      </c>
      <c r="F248" s="150">
        <v>28</v>
      </c>
      <c r="G248" s="151">
        <v>-1330</v>
      </c>
      <c r="H248" s="152"/>
      <c r="I248" s="152"/>
      <c r="J248" s="152"/>
      <c r="K248" s="150">
        <v>64.5</v>
      </c>
      <c r="L248" s="151">
        <v>74</v>
      </c>
      <c r="M248" s="151">
        <v>4</v>
      </c>
      <c r="N248" s="154">
        <v>6555.652426620169</v>
      </c>
      <c r="O248" s="146">
        <v>5515</v>
      </c>
      <c r="P248" s="139">
        <v>1563</v>
      </c>
      <c r="Q248" s="139">
        <v>19111</v>
      </c>
      <c r="R248" s="139">
        <v>-17548</v>
      </c>
      <c r="S248" s="146">
        <v>10152</v>
      </c>
      <c r="T248" s="139">
        <v>8744</v>
      </c>
      <c r="U248" s="160"/>
      <c r="W248" s="138">
        <v>-130</v>
      </c>
      <c r="X248" s="138">
        <v>36</v>
      </c>
      <c r="Y248" s="139">
        <v>1254</v>
      </c>
      <c r="Z248" s="138">
        <v>595</v>
      </c>
      <c r="AC248" s="139">
        <v>659</v>
      </c>
      <c r="AG248" s="139">
        <v>659</v>
      </c>
      <c r="AH248" s="139">
        <v>2790</v>
      </c>
      <c r="AI248" s="139">
        <v>1253</v>
      </c>
      <c r="AJ248" s="176"/>
      <c r="AK248" s="139"/>
      <c r="AL248" s="151">
        <v>-1016</v>
      </c>
      <c r="AM248" s="151">
        <v>-139</v>
      </c>
      <c r="AN248" s="146">
        <v>10152</v>
      </c>
      <c r="AO248" s="139">
        <v>9420</v>
      </c>
      <c r="AP248" s="139">
        <v>330</v>
      </c>
      <c r="AQ248" s="139">
        <v>402</v>
      </c>
      <c r="AR248" s="114">
        <v>20.75</v>
      </c>
      <c r="AS248" s="152"/>
      <c r="AT248" s="138">
        <v>87</v>
      </c>
      <c r="AU248" s="191">
        <v>3429</v>
      </c>
      <c r="AV248" s="146"/>
      <c r="AW248" s="150">
        <v>0.6326402016383113</v>
      </c>
      <c r="AX248" s="150">
        <v>32.1</v>
      </c>
      <c r="AY248" s="151">
        <v>-1348</v>
      </c>
      <c r="AZ248" s="152"/>
      <c r="BA248" s="152"/>
      <c r="BB248" s="152"/>
      <c r="BC248" s="150">
        <v>61</v>
      </c>
      <c r="BD248" s="151">
        <v>531</v>
      </c>
      <c r="BE248" s="151">
        <v>29</v>
      </c>
      <c r="BF248" s="154">
        <v>6727.325750947799</v>
      </c>
      <c r="BG248" s="146">
        <v>5720</v>
      </c>
      <c r="BH248" s="139">
        <v>1790</v>
      </c>
      <c r="BI248" s="139">
        <v>20445</v>
      </c>
      <c r="BJ248" s="139">
        <v>-18655</v>
      </c>
      <c r="BK248" s="146">
        <v>10537</v>
      </c>
      <c r="BL248" s="146">
        <v>9101</v>
      </c>
      <c r="BM248" s="160"/>
      <c r="BO248" s="138">
        <v>-144</v>
      </c>
      <c r="BP248" s="138">
        <v>13</v>
      </c>
      <c r="BQ248" s="139">
        <v>852</v>
      </c>
      <c r="BR248" s="138">
        <v>654</v>
      </c>
      <c r="BU248" s="139">
        <v>198</v>
      </c>
      <c r="BY248" s="138">
        <v>198</v>
      </c>
      <c r="BZ248" s="139">
        <v>3028</v>
      </c>
      <c r="CA248" s="139">
        <v>843</v>
      </c>
      <c r="CB248" s="176"/>
      <c r="CC248" s="139">
        <v>468</v>
      </c>
      <c r="CD248" s="151">
        <v>-1435</v>
      </c>
      <c r="CE248" s="151">
        <v>-92</v>
      </c>
      <c r="CF248" s="138">
        <v>10537</v>
      </c>
      <c r="CG248" s="139">
        <v>9897</v>
      </c>
      <c r="CH248" s="139">
        <v>225</v>
      </c>
      <c r="CI248" s="139">
        <v>415</v>
      </c>
      <c r="CJ248" s="114">
        <v>20.75</v>
      </c>
      <c r="CK248" s="152"/>
      <c r="CL248" s="138">
        <v>87</v>
      </c>
      <c r="CM248" s="190">
        <v>3356</v>
      </c>
      <c r="CN248" s="146"/>
      <c r="CO248" s="150">
        <v>0.340160284951024</v>
      </c>
      <c r="CP248" s="150">
        <v>32.32635260982147</v>
      </c>
      <c r="CQ248" s="151">
        <v>-1461.2634088200239</v>
      </c>
      <c r="CR248" s="152"/>
      <c r="CS248" s="152"/>
      <c r="CT248" s="152"/>
      <c r="CU248" s="150">
        <v>59.2230890937858</v>
      </c>
      <c r="CV248" s="151">
        <v>533.0750893921335</v>
      </c>
      <c r="CW248" s="151">
        <v>27.98667066689525</v>
      </c>
      <c r="CX248" s="154">
        <v>6952.324195470798</v>
      </c>
      <c r="CY248" s="146">
        <v>5723</v>
      </c>
      <c r="CZ248" s="139">
        <v>1895</v>
      </c>
      <c r="DA248" s="139">
        <v>21649</v>
      </c>
      <c r="DB248" s="139">
        <v>-19754</v>
      </c>
      <c r="DC248" s="146">
        <v>11007</v>
      </c>
      <c r="DD248" s="146">
        <v>9111</v>
      </c>
      <c r="DE248" s="160"/>
      <c r="DG248" s="138">
        <v>-119</v>
      </c>
      <c r="DH248" s="138">
        <v>8</v>
      </c>
      <c r="DI248" s="139">
        <v>253</v>
      </c>
      <c r="DJ248" s="138">
        <v>730</v>
      </c>
      <c r="DM248" s="139">
        <v>-477</v>
      </c>
      <c r="DQ248" s="138">
        <v>-477</v>
      </c>
      <c r="DR248" s="139">
        <v>2551</v>
      </c>
      <c r="DS248" s="139">
        <v>252</v>
      </c>
      <c r="DT248" s="176"/>
      <c r="DU248" s="139">
        <v>15</v>
      </c>
      <c r="DV248" s="151">
        <v>-993</v>
      </c>
      <c r="DW248" s="138">
        <v>-284</v>
      </c>
      <c r="DX248" s="138">
        <v>11007</v>
      </c>
      <c r="DY248" s="146">
        <v>10288</v>
      </c>
      <c r="DZ248" s="196">
        <v>294</v>
      </c>
      <c r="EA248" s="146">
        <v>425</v>
      </c>
      <c r="EB248" s="114">
        <v>20.75</v>
      </c>
      <c r="EC248" s="152"/>
      <c r="ED248" s="138">
        <v>253</v>
      </c>
      <c r="EE248" s="138">
        <v>12369</v>
      </c>
      <c r="EF248" s="138">
        <v>13266</v>
      </c>
      <c r="EG248" s="138">
        <v>14507</v>
      </c>
      <c r="EH248" s="138"/>
      <c r="EI248" s="138"/>
      <c r="EJ248" s="138"/>
      <c r="EK248" s="3">
        <v>-1710</v>
      </c>
      <c r="EL248" s="138">
        <v>134</v>
      </c>
      <c r="EM248" s="138">
        <v>184</v>
      </c>
      <c r="EN248" s="3">
        <v>-1019</v>
      </c>
      <c r="EO248" s="138">
        <v>32</v>
      </c>
      <c r="EP248" s="138">
        <v>51</v>
      </c>
      <c r="EQ248" s="3">
        <v>-554</v>
      </c>
      <c r="ER248" s="138">
        <v>18</v>
      </c>
      <c r="ET248" s="163">
        <v>1500</v>
      </c>
      <c r="EU248" s="163"/>
      <c r="EV248" s="138">
        <v>1568</v>
      </c>
      <c r="EW248" s="138"/>
      <c r="EX248" s="138">
        <v>1000</v>
      </c>
      <c r="EY248" s="138">
        <v>6</v>
      </c>
      <c r="EZ248" s="138">
        <v>4705</v>
      </c>
      <c r="FA248" s="138">
        <v>3838</v>
      </c>
      <c r="FB248" s="138">
        <v>867</v>
      </c>
      <c r="FC248" s="138">
        <v>320</v>
      </c>
      <c r="FD248" s="138">
        <v>4838</v>
      </c>
      <c r="FE248" s="138">
        <v>3901</v>
      </c>
      <c r="FF248" s="138">
        <v>937</v>
      </c>
      <c r="FG248" s="138">
        <v>320</v>
      </c>
      <c r="FH248" s="138">
        <v>4851</v>
      </c>
      <c r="FI248" s="138">
        <v>3908</v>
      </c>
      <c r="FJ248" s="138">
        <v>943</v>
      </c>
      <c r="FK248" s="138">
        <v>320</v>
      </c>
      <c r="FL248" s="147">
        <v>2879</v>
      </c>
      <c r="FM248" s="147">
        <v>2867.891513560805</v>
      </c>
      <c r="FO248" s="181">
        <f aca="true" t="shared" si="12" ref="FO248:FO307">(DY248/EB248)</f>
        <v>495.8072289156627</v>
      </c>
      <c r="FP248" s="179">
        <f t="shared" si="11"/>
        <v>147.737553312176</v>
      </c>
      <c r="FR248" s="184"/>
      <c r="FV248" s="184">
        <v>1016</v>
      </c>
      <c r="FW248" s="2">
        <f aca="true" t="shared" si="13" ref="FW248:FW306">FV248*-1</f>
        <v>-1016</v>
      </c>
    </row>
    <row r="249" spans="1:179" ht="12.75">
      <c r="A249" s="82">
        <v>753</v>
      </c>
      <c r="B249" s="80" t="s">
        <v>238</v>
      </c>
      <c r="C249" s="191">
        <v>18526</v>
      </c>
      <c r="D249" s="146"/>
      <c r="E249" s="150">
        <v>0.4920339140967111</v>
      </c>
      <c r="F249" s="150">
        <v>68.1</v>
      </c>
      <c r="G249" s="151">
        <v>-3428</v>
      </c>
      <c r="H249" s="152"/>
      <c r="I249" s="152"/>
      <c r="J249" s="152"/>
      <c r="K249" s="150">
        <v>50.1</v>
      </c>
      <c r="L249" s="151">
        <v>168</v>
      </c>
      <c r="M249" s="151">
        <v>8</v>
      </c>
      <c r="N249" s="154">
        <v>6732.160207276261</v>
      </c>
      <c r="O249" s="146">
        <v>47774</v>
      </c>
      <c r="P249" s="139">
        <v>19826</v>
      </c>
      <c r="Q249" s="139">
        <v>105733</v>
      </c>
      <c r="R249" s="139">
        <v>-85907</v>
      </c>
      <c r="S249" s="146">
        <v>75495</v>
      </c>
      <c r="T249" s="139">
        <v>15860</v>
      </c>
      <c r="U249" s="160"/>
      <c r="W249" s="138">
        <v>-1267</v>
      </c>
      <c r="X249" s="138">
        <v>128</v>
      </c>
      <c r="Y249" s="139">
        <v>4309</v>
      </c>
      <c r="Z249" s="138">
        <v>6104</v>
      </c>
      <c r="AA249" s="138">
        <v>7943</v>
      </c>
      <c r="AB249" s="138">
        <v>9574</v>
      </c>
      <c r="AC249" s="139">
        <v>-3426</v>
      </c>
      <c r="AD249" s="138">
        <v>389</v>
      </c>
      <c r="AF249" s="139"/>
      <c r="AG249" s="139">
        <v>-3037</v>
      </c>
      <c r="AH249" s="139">
        <v>11552</v>
      </c>
      <c r="AI249" s="139">
        <v>-126</v>
      </c>
      <c r="AJ249" s="176"/>
      <c r="AK249" s="139">
        <v>-1470</v>
      </c>
      <c r="AL249" s="151">
        <v>-9761</v>
      </c>
      <c r="AM249" s="151">
        <v>-16517</v>
      </c>
      <c r="AN249" s="146">
        <v>75495</v>
      </c>
      <c r="AO249" s="139">
        <v>64536</v>
      </c>
      <c r="AP249" s="139">
        <v>5838</v>
      </c>
      <c r="AQ249" s="139">
        <v>5121</v>
      </c>
      <c r="AR249" s="114">
        <v>19.25</v>
      </c>
      <c r="AS249" s="152"/>
      <c r="AT249" s="138">
        <v>176</v>
      </c>
      <c r="AU249" s="191">
        <v>18739</v>
      </c>
      <c r="AV249" s="146"/>
      <c r="AW249" s="150">
        <v>0.6765314926660915</v>
      </c>
      <c r="AX249" s="150">
        <v>61.9</v>
      </c>
      <c r="AY249" s="151">
        <v>-2138</v>
      </c>
      <c r="AZ249" s="152"/>
      <c r="BA249" s="152"/>
      <c r="BB249" s="152"/>
      <c r="BC249" s="150">
        <v>60.4</v>
      </c>
      <c r="BD249" s="151">
        <v>112</v>
      </c>
      <c r="BE249" s="151">
        <v>6</v>
      </c>
      <c r="BF249" s="154">
        <v>7331.180959496238</v>
      </c>
      <c r="BG249" s="146">
        <v>48509</v>
      </c>
      <c r="BH249" s="139">
        <v>18536</v>
      </c>
      <c r="BI249" s="139">
        <v>108226</v>
      </c>
      <c r="BJ249" s="139">
        <v>-89690</v>
      </c>
      <c r="BK249" s="146">
        <v>78726</v>
      </c>
      <c r="BL249" s="146">
        <v>18393</v>
      </c>
      <c r="BM249" s="160"/>
      <c r="BO249" s="138">
        <v>-1208</v>
      </c>
      <c r="BP249" s="138">
        <v>371</v>
      </c>
      <c r="BQ249" s="139">
        <v>6592</v>
      </c>
      <c r="BR249" s="138">
        <v>6450</v>
      </c>
      <c r="BS249" s="138">
        <v>33000</v>
      </c>
      <c r="BT249" s="138">
        <v>98</v>
      </c>
      <c r="BU249" s="139">
        <v>33044</v>
      </c>
      <c r="BV249" s="138">
        <v>389</v>
      </c>
      <c r="BW249" s="138">
        <v>-32600</v>
      </c>
      <c r="BX249" s="139"/>
      <c r="BY249" s="138">
        <v>833</v>
      </c>
      <c r="BZ249" s="139">
        <v>12528</v>
      </c>
      <c r="CA249" s="139">
        <v>3348</v>
      </c>
      <c r="CB249" s="176"/>
      <c r="CC249" s="139">
        <v>-20345</v>
      </c>
      <c r="CD249" s="151">
        <v>-10341</v>
      </c>
      <c r="CE249" s="151">
        <v>23037</v>
      </c>
      <c r="CF249" s="138">
        <v>78726</v>
      </c>
      <c r="CG249" s="139">
        <v>69203</v>
      </c>
      <c r="CH249" s="139">
        <v>3496</v>
      </c>
      <c r="CI249" s="139">
        <v>6027</v>
      </c>
      <c r="CJ249" s="114">
        <v>19.25</v>
      </c>
      <c r="CK249" s="152"/>
      <c r="CL249" s="138">
        <v>53</v>
      </c>
      <c r="CM249" s="190">
        <v>18914</v>
      </c>
      <c r="CN249" s="146"/>
      <c r="CO249" s="150">
        <v>0.7235044313146234</v>
      </c>
      <c r="CP249" s="150">
        <v>63.0020464015385</v>
      </c>
      <c r="CQ249" s="151">
        <v>-2708.9986253568786</v>
      </c>
      <c r="CR249" s="152"/>
      <c r="CS249" s="152"/>
      <c r="CT249" s="152"/>
      <c r="CU249" s="150">
        <v>57.95504146660847</v>
      </c>
      <c r="CV249" s="151">
        <v>436.44919107539386</v>
      </c>
      <c r="CW249" s="151">
        <v>21.069717842033494</v>
      </c>
      <c r="CX249" s="154">
        <v>7560.8015226816115</v>
      </c>
      <c r="CY249" s="146">
        <v>51242</v>
      </c>
      <c r="CZ249" s="139">
        <v>20146</v>
      </c>
      <c r="DA249" s="139">
        <v>114095</v>
      </c>
      <c r="DB249" s="139">
        <v>-93949</v>
      </c>
      <c r="DC249" s="146">
        <v>84862</v>
      </c>
      <c r="DD249" s="146">
        <v>16669</v>
      </c>
      <c r="DE249" s="160"/>
      <c r="DG249" s="138">
        <v>-948</v>
      </c>
      <c r="DH249" s="138">
        <v>254</v>
      </c>
      <c r="DI249" s="139">
        <v>6888</v>
      </c>
      <c r="DJ249" s="138">
        <v>9193</v>
      </c>
      <c r="DM249" s="139">
        <v>-2305</v>
      </c>
      <c r="DN249" s="138">
        <v>-15471</v>
      </c>
      <c r="DO249" s="138">
        <v>15859</v>
      </c>
      <c r="DP249" s="139"/>
      <c r="DQ249" s="138">
        <v>-1917</v>
      </c>
      <c r="DR249" s="139">
        <v>9227</v>
      </c>
      <c r="DS249" s="139">
        <v>2053</v>
      </c>
      <c r="DT249" s="176"/>
      <c r="DU249" s="139">
        <v>12302</v>
      </c>
      <c r="DV249" s="151">
        <v>-9883</v>
      </c>
      <c r="DW249" s="138">
        <v>-10002</v>
      </c>
      <c r="DX249" s="138">
        <v>84862</v>
      </c>
      <c r="DY249" s="146">
        <v>75308</v>
      </c>
      <c r="DZ249" s="196">
        <v>3105</v>
      </c>
      <c r="EA249" s="146">
        <v>6449</v>
      </c>
      <c r="EB249" s="114">
        <v>19.25</v>
      </c>
      <c r="EC249" s="152"/>
      <c r="ED249" s="138">
        <v>104</v>
      </c>
      <c r="EE249" s="138">
        <v>43271</v>
      </c>
      <c r="EF249" s="138">
        <v>44998</v>
      </c>
      <c r="EG249" s="138">
        <v>47164</v>
      </c>
      <c r="EH249" s="138"/>
      <c r="EI249" s="138"/>
      <c r="EJ249" s="138"/>
      <c r="EK249" s="3">
        <v>-20286</v>
      </c>
      <c r="EL249" s="138">
        <v>678</v>
      </c>
      <c r="EM249" s="138">
        <v>3217</v>
      </c>
      <c r="EN249" s="3">
        <v>-17555</v>
      </c>
      <c r="EO249" s="138">
        <v>215</v>
      </c>
      <c r="EP249" s="138">
        <v>37030</v>
      </c>
      <c r="EQ249" s="3">
        <v>-18074</v>
      </c>
      <c r="ER249" s="138">
        <v>7</v>
      </c>
      <c r="ES249" s="138">
        <v>6012</v>
      </c>
      <c r="ET249" s="163"/>
      <c r="EU249" s="163">
        <v>7767</v>
      </c>
      <c r="EV249" s="138">
        <v>14000</v>
      </c>
      <c r="EW249" s="138">
        <v>-8096</v>
      </c>
      <c r="EX249" s="138">
        <v>12000</v>
      </c>
      <c r="EY249" s="138">
        <v>-359</v>
      </c>
      <c r="EZ249" s="138">
        <v>55491</v>
      </c>
      <c r="FA249" s="138">
        <v>37753</v>
      </c>
      <c r="FB249" s="138">
        <v>17738</v>
      </c>
      <c r="FC249" s="138">
        <v>24</v>
      </c>
      <c r="FD249" s="138">
        <v>51054</v>
      </c>
      <c r="FE249" s="138">
        <v>41412</v>
      </c>
      <c r="FF249" s="138">
        <v>9642</v>
      </c>
      <c r="FG249" s="138">
        <v>8</v>
      </c>
      <c r="FH249" s="138">
        <v>52810</v>
      </c>
      <c r="FI249" s="138">
        <v>43528</v>
      </c>
      <c r="FJ249" s="138">
        <v>9282</v>
      </c>
      <c r="FK249" s="138">
        <v>6</v>
      </c>
      <c r="FL249" s="147">
        <v>3229</v>
      </c>
      <c r="FM249" s="147">
        <v>3133.8918832381664</v>
      </c>
      <c r="FO249" s="181">
        <f t="shared" si="12"/>
        <v>3912.103896103896</v>
      </c>
      <c r="FP249" s="179">
        <f t="shared" si="11"/>
        <v>206.83641197546243</v>
      </c>
      <c r="FR249" s="184"/>
      <c r="FV249" s="184">
        <v>9761</v>
      </c>
      <c r="FW249" s="2">
        <f t="shared" si="13"/>
        <v>-9761</v>
      </c>
    </row>
    <row r="250" spans="1:179" ht="12.75">
      <c r="A250" s="82">
        <v>755</v>
      </c>
      <c r="B250" s="80" t="s">
        <v>239</v>
      </c>
      <c r="C250" s="191">
        <v>6148</v>
      </c>
      <c r="D250" s="146"/>
      <c r="E250" s="150">
        <v>1.3456243854473944</v>
      </c>
      <c r="F250" s="150">
        <v>55</v>
      </c>
      <c r="G250" s="151">
        <v>-2799</v>
      </c>
      <c r="H250" s="152"/>
      <c r="I250" s="152"/>
      <c r="J250" s="152"/>
      <c r="K250" s="150">
        <v>33.9</v>
      </c>
      <c r="L250" s="151">
        <v>101</v>
      </c>
      <c r="M250" s="151">
        <v>6</v>
      </c>
      <c r="N250" s="154">
        <v>5682.661027976578</v>
      </c>
      <c r="O250" s="146">
        <v>9997</v>
      </c>
      <c r="P250" s="139">
        <v>4387</v>
      </c>
      <c r="Q250" s="139">
        <v>31768</v>
      </c>
      <c r="R250" s="139">
        <v>-27381</v>
      </c>
      <c r="S250" s="146">
        <v>25030</v>
      </c>
      <c r="T250" s="139">
        <v>5294</v>
      </c>
      <c r="U250" s="160"/>
      <c r="W250" s="138">
        <v>-352</v>
      </c>
      <c r="X250" s="138">
        <v>2</v>
      </c>
      <c r="Y250" s="139">
        <v>2593</v>
      </c>
      <c r="Z250" s="138">
        <v>1137</v>
      </c>
      <c r="AC250" s="139">
        <v>1456</v>
      </c>
      <c r="AG250" s="139">
        <v>1456</v>
      </c>
      <c r="AH250" s="139">
        <v>506</v>
      </c>
      <c r="AI250" s="139">
        <v>1914</v>
      </c>
      <c r="AJ250" s="176"/>
      <c r="AK250" s="139">
        <v>-110</v>
      </c>
      <c r="AL250" s="151">
        <v>-1890</v>
      </c>
      <c r="AM250" s="151">
        <v>271</v>
      </c>
      <c r="AN250" s="146">
        <v>25030</v>
      </c>
      <c r="AO250" s="139">
        <v>22721</v>
      </c>
      <c r="AP250" s="139">
        <v>574</v>
      </c>
      <c r="AQ250" s="139">
        <v>1735</v>
      </c>
      <c r="AR250" s="114">
        <v>21</v>
      </c>
      <c r="AS250" s="152"/>
      <c r="AT250" s="138">
        <v>69</v>
      </c>
      <c r="AU250" s="191">
        <v>6170</v>
      </c>
      <c r="AV250" s="146"/>
      <c r="AW250" s="150">
        <v>-0.010313075506445672</v>
      </c>
      <c r="AX250" s="150">
        <v>67.7</v>
      </c>
      <c r="AY250" s="151">
        <v>-3559</v>
      </c>
      <c r="AZ250" s="152"/>
      <c r="BA250" s="152"/>
      <c r="BB250" s="152"/>
      <c r="BC250" s="150">
        <v>26.1</v>
      </c>
      <c r="BD250" s="151">
        <v>4</v>
      </c>
      <c r="BE250" s="151">
        <v>0</v>
      </c>
      <c r="BF250" s="154">
        <v>6789.1410048622365</v>
      </c>
      <c r="BG250" s="146">
        <v>10878</v>
      </c>
      <c r="BH250" s="139">
        <v>4348</v>
      </c>
      <c r="BI250" s="139">
        <v>34393</v>
      </c>
      <c r="BJ250" s="139">
        <v>-30045</v>
      </c>
      <c r="BK250" s="146">
        <v>24761</v>
      </c>
      <c r="BL250" s="146">
        <v>5244</v>
      </c>
      <c r="BM250" s="160"/>
      <c r="BO250" s="138">
        <v>-354</v>
      </c>
      <c r="BP250" s="138">
        <v>6</v>
      </c>
      <c r="BQ250" s="139">
        <v>-388</v>
      </c>
      <c r="BR250" s="138">
        <v>1233</v>
      </c>
      <c r="BU250" s="139">
        <v>-1621</v>
      </c>
      <c r="BY250" s="138">
        <v>-1621</v>
      </c>
      <c r="BZ250" s="139">
        <v>-1115</v>
      </c>
      <c r="CA250" s="139">
        <v>-1502</v>
      </c>
      <c r="CB250" s="176"/>
      <c r="CC250" s="139">
        <v>-19</v>
      </c>
      <c r="CD250" s="151">
        <v>-2355</v>
      </c>
      <c r="CE250" s="151">
        <v>-4751</v>
      </c>
      <c r="CF250" s="138">
        <v>24761</v>
      </c>
      <c r="CG250" s="139">
        <v>22997</v>
      </c>
      <c r="CH250" s="139">
        <v>434</v>
      </c>
      <c r="CI250" s="139">
        <v>1330</v>
      </c>
      <c r="CJ250" s="114">
        <v>21</v>
      </c>
      <c r="CK250" s="152"/>
      <c r="CL250" s="138">
        <v>272</v>
      </c>
      <c r="CM250" s="190">
        <v>6183</v>
      </c>
      <c r="CN250" s="146"/>
      <c r="CO250" s="150">
        <v>1.043766090474439</v>
      </c>
      <c r="CP250" s="150">
        <v>66.99768991795226</v>
      </c>
      <c r="CQ250" s="151">
        <v>-3838.2662138120654</v>
      </c>
      <c r="CR250" s="152"/>
      <c r="CS250" s="152"/>
      <c r="CT250" s="152"/>
      <c r="CU250" s="150">
        <v>25.6258427625022</v>
      </c>
      <c r="CV250" s="151">
        <v>3.719877082322497</v>
      </c>
      <c r="CW250" s="151">
        <v>0.20026240458015268</v>
      </c>
      <c r="CX250" s="154">
        <v>6779.880316998221</v>
      </c>
      <c r="CY250" s="146">
        <v>14765</v>
      </c>
      <c r="CZ250" s="139">
        <v>4949</v>
      </c>
      <c r="DA250" s="139">
        <v>34887</v>
      </c>
      <c r="DB250" s="139">
        <v>-29938</v>
      </c>
      <c r="DC250" s="146">
        <v>27529</v>
      </c>
      <c r="DD250" s="146">
        <v>5183</v>
      </c>
      <c r="DE250" s="160"/>
      <c r="DG250" s="138">
        <v>-410</v>
      </c>
      <c r="DH250" s="138">
        <v>55</v>
      </c>
      <c r="DI250" s="139">
        <v>2419</v>
      </c>
      <c r="DJ250" s="138">
        <v>1914</v>
      </c>
      <c r="DM250" s="139">
        <v>505</v>
      </c>
      <c r="DQ250" s="138">
        <v>505</v>
      </c>
      <c r="DR250" s="139">
        <v>-610</v>
      </c>
      <c r="DS250" s="139">
        <v>1871</v>
      </c>
      <c r="DT250" s="176"/>
      <c r="DU250" s="139">
        <v>-208</v>
      </c>
      <c r="DV250" s="151">
        <v>-2300</v>
      </c>
      <c r="DW250" s="138">
        <v>-1781</v>
      </c>
      <c r="DX250" s="138">
        <v>27529</v>
      </c>
      <c r="DY250" s="146">
        <v>25346</v>
      </c>
      <c r="DZ250" s="196">
        <v>457</v>
      </c>
      <c r="EA250" s="146">
        <v>1726</v>
      </c>
      <c r="EB250" s="114">
        <v>21</v>
      </c>
      <c r="EC250" s="152"/>
      <c r="ED250" s="138">
        <v>92</v>
      </c>
      <c r="EE250" s="138">
        <v>18722</v>
      </c>
      <c r="EF250" s="138">
        <v>20110</v>
      </c>
      <c r="EG250" s="138">
        <v>15624</v>
      </c>
      <c r="EH250" s="138"/>
      <c r="EI250" s="138"/>
      <c r="EJ250" s="138"/>
      <c r="EK250" s="3">
        <v>-2407</v>
      </c>
      <c r="EL250" s="138"/>
      <c r="EM250" s="138">
        <v>764</v>
      </c>
      <c r="EN250" s="3">
        <v>-4701</v>
      </c>
      <c r="EO250" s="138"/>
      <c r="EP250" s="138">
        <v>1452</v>
      </c>
      <c r="EQ250" s="3">
        <v>-4312</v>
      </c>
      <c r="ES250" s="138">
        <v>660</v>
      </c>
      <c r="ET250" s="163">
        <v>3400</v>
      </c>
      <c r="EU250" s="163">
        <v>-2550</v>
      </c>
      <c r="EV250" s="138">
        <v>3800</v>
      </c>
      <c r="EW250" s="138">
        <v>1420</v>
      </c>
      <c r="EX250" s="138">
        <v>6000</v>
      </c>
      <c r="EY250" s="138">
        <v>-2050</v>
      </c>
      <c r="EZ250" s="138">
        <v>15768</v>
      </c>
      <c r="FA250" s="138">
        <v>8304</v>
      </c>
      <c r="FB250" s="138">
        <v>7464</v>
      </c>
      <c r="FC250" s="138">
        <v>0</v>
      </c>
      <c r="FD250" s="138">
        <v>18634</v>
      </c>
      <c r="FE250" s="138">
        <v>9764</v>
      </c>
      <c r="FF250" s="138">
        <v>8870</v>
      </c>
      <c r="FG250" s="138">
        <v>0</v>
      </c>
      <c r="FH250" s="138">
        <v>20283</v>
      </c>
      <c r="FI250" s="138">
        <v>12964</v>
      </c>
      <c r="FJ250" s="138">
        <v>7319</v>
      </c>
      <c r="FK250" s="138">
        <v>0</v>
      </c>
      <c r="FL250" s="147" t="s">
        <v>389</v>
      </c>
      <c r="FM250" s="147" t="s">
        <v>389</v>
      </c>
      <c r="FO250" s="181">
        <f t="shared" si="12"/>
        <v>1206.952380952381</v>
      </c>
      <c r="FP250" s="179">
        <f t="shared" si="11"/>
        <v>195.20497831997105</v>
      </c>
      <c r="FR250" s="184"/>
      <c r="FV250" s="184">
        <v>1890</v>
      </c>
      <c r="FW250" s="2">
        <f t="shared" si="13"/>
        <v>-1890</v>
      </c>
    </row>
    <row r="251" spans="1:179" ht="12.75">
      <c r="A251" s="82">
        <v>758</v>
      </c>
      <c r="B251" s="80" t="s">
        <v>240</v>
      </c>
      <c r="C251" s="191">
        <v>8806</v>
      </c>
      <c r="D251" s="146"/>
      <c r="E251" s="150">
        <v>1.0904878048780489</v>
      </c>
      <c r="F251" s="150">
        <v>38.1</v>
      </c>
      <c r="G251" s="151">
        <v>-1402</v>
      </c>
      <c r="H251" s="152"/>
      <c r="I251" s="152"/>
      <c r="J251" s="152"/>
      <c r="K251" s="150">
        <v>59.1</v>
      </c>
      <c r="L251" s="151">
        <v>1018</v>
      </c>
      <c r="M251" s="151">
        <v>49</v>
      </c>
      <c r="N251" s="154">
        <v>10338.064955712014</v>
      </c>
      <c r="O251" s="146">
        <v>31659</v>
      </c>
      <c r="P251" s="139">
        <v>10467</v>
      </c>
      <c r="Q251" s="139">
        <v>60585</v>
      </c>
      <c r="R251" s="139">
        <v>-50118</v>
      </c>
      <c r="S251" s="146">
        <v>29002</v>
      </c>
      <c r="T251" s="139">
        <v>23460</v>
      </c>
      <c r="U251" s="160"/>
      <c r="W251" s="138">
        <v>-234</v>
      </c>
      <c r="X251" s="138">
        <v>1082</v>
      </c>
      <c r="Y251" s="139">
        <v>3192</v>
      </c>
      <c r="Z251" s="138">
        <v>2031</v>
      </c>
      <c r="AA251" s="138">
        <v>94</v>
      </c>
      <c r="AB251" s="138">
        <v>356</v>
      </c>
      <c r="AC251" s="139">
        <v>899</v>
      </c>
      <c r="AD251" s="138">
        <v>49</v>
      </c>
      <c r="AE251" s="139"/>
      <c r="AF251" s="138">
        <v>-465</v>
      </c>
      <c r="AG251" s="139">
        <v>483</v>
      </c>
      <c r="AH251" s="139">
        <v>2771</v>
      </c>
      <c r="AI251" s="139">
        <v>2993</v>
      </c>
      <c r="AJ251" s="176"/>
      <c r="AK251" s="139">
        <v>-218</v>
      </c>
      <c r="AL251" s="151">
        <v>-2821</v>
      </c>
      <c r="AM251" s="151">
        <v>302</v>
      </c>
      <c r="AN251" s="146">
        <v>29002</v>
      </c>
      <c r="AO251" s="139">
        <v>22146</v>
      </c>
      <c r="AP251" s="139">
        <v>2261</v>
      </c>
      <c r="AQ251" s="139">
        <v>4595</v>
      </c>
      <c r="AR251" s="114">
        <v>19.5</v>
      </c>
      <c r="AS251" s="152"/>
      <c r="AT251" s="138">
        <v>90</v>
      </c>
      <c r="AU251" s="191">
        <v>8834</v>
      </c>
      <c r="AV251" s="146"/>
      <c r="AW251" s="150">
        <v>0.2295569432054713</v>
      </c>
      <c r="AX251" s="150">
        <v>45.1</v>
      </c>
      <c r="AY251" s="151">
        <v>-2128</v>
      </c>
      <c r="AZ251" s="152"/>
      <c r="BA251" s="152"/>
      <c r="BB251" s="152"/>
      <c r="BC251" s="150">
        <v>53.2</v>
      </c>
      <c r="BD251" s="151">
        <v>907</v>
      </c>
      <c r="BE251" s="151">
        <v>38</v>
      </c>
      <c r="BF251" s="154">
        <v>8790.355444872086</v>
      </c>
      <c r="BG251" s="146">
        <v>33933</v>
      </c>
      <c r="BH251" s="139">
        <v>9949</v>
      </c>
      <c r="BI251" s="139">
        <v>65088</v>
      </c>
      <c r="BJ251" s="139">
        <v>-55139</v>
      </c>
      <c r="BK251" s="146">
        <v>29674</v>
      </c>
      <c r="BL251" s="146">
        <v>24911</v>
      </c>
      <c r="BM251" s="160"/>
      <c r="BO251" s="138">
        <v>-313</v>
      </c>
      <c r="BP251" s="138">
        <v>1244</v>
      </c>
      <c r="BQ251" s="139">
        <v>377</v>
      </c>
      <c r="BR251" s="138">
        <v>2055</v>
      </c>
      <c r="BS251" s="138">
        <v>133</v>
      </c>
      <c r="BT251" s="138">
        <v>146</v>
      </c>
      <c r="BU251" s="139">
        <v>-1691</v>
      </c>
      <c r="BV251" s="138">
        <v>48</v>
      </c>
      <c r="BW251" s="139"/>
      <c r="BX251" s="138">
        <v>262</v>
      </c>
      <c r="BY251" s="138">
        <v>-1381</v>
      </c>
      <c r="BZ251" s="139">
        <v>1390</v>
      </c>
      <c r="CA251" s="139">
        <v>246</v>
      </c>
      <c r="CB251" s="176"/>
      <c r="CC251" s="139">
        <v>477</v>
      </c>
      <c r="CD251" s="151">
        <v>-2968</v>
      </c>
      <c r="CE251" s="151">
        <v>-6415</v>
      </c>
      <c r="CF251" s="138">
        <v>29674</v>
      </c>
      <c r="CG251" s="139">
        <v>23373</v>
      </c>
      <c r="CH251" s="139">
        <v>1452</v>
      </c>
      <c r="CI251" s="139">
        <v>4849</v>
      </c>
      <c r="CJ251" s="114">
        <v>19.5</v>
      </c>
      <c r="CK251" s="152"/>
      <c r="CL251" s="138">
        <v>224</v>
      </c>
      <c r="CM251" s="190">
        <v>8884</v>
      </c>
      <c r="CN251" s="146"/>
      <c r="CO251" s="150">
        <v>0.4405466970387244</v>
      </c>
      <c r="CP251" s="150">
        <v>44.56353720068831</v>
      </c>
      <c r="CQ251" s="151">
        <v>-2597.5911751463304</v>
      </c>
      <c r="CR251" s="152"/>
      <c r="CS251" s="152"/>
      <c r="CT251" s="152"/>
      <c r="CU251" s="150">
        <v>52.06535621943242</v>
      </c>
      <c r="CV251" s="151">
        <v>499.09950472760016</v>
      </c>
      <c r="CW251" s="151">
        <v>19.578171876512144</v>
      </c>
      <c r="CX251" s="154">
        <v>9304.817649707338</v>
      </c>
      <c r="CY251" s="146">
        <v>34521</v>
      </c>
      <c r="CZ251" s="139">
        <v>9992</v>
      </c>
      <c r="DA251" s="139">
        <v>66977</v>
      </c>
      <c r="DB251" s="139">
        <v>-56985</v>
      </c>
      <c r="DC251" s="146">
        <v>33345</v>
      </c>
      <c r="DD251" s="146">
        <v>25237</v>
      </c>
      <c r="DE251" s="160"/>
      <c r="DG251" s="138">
        <v>-238</v>
      </c>
      <c r="DH251" s="138">
        <v>1237</v>
      </c>
      <c r="DI251" s="139">
        <v>2596</v>
      </c>
      <c r="DJ251" s="138">
        <v>2280</v>
      </c>
      <c r="DK251" s="138">
        <v>53</v>
      </c>
      <c r="DL251" s="138">
        <v>312</v>
      </c>
      <c r="DM251" s="139">
        <v>57</v>
      </c>
      <c r="DN251" s="138">
        <v>-1065</v>
      </c>
      <c r="DO251" s="139">
        <v>1120</v>
      </c>
      <c r="DP251" s="138">
        <v>269</v>
      </c>
      <c r="DQ251" s="138">
        <v>381</v>
      </c>
      <c r="DR251" s="139">
        <v>1770</v>
      </c>
      <c r="DS251" s="139">
        <v>2359</v>
      </c>
      <c r="DT251" s="176"/>
      <c r="DU251" s="139">
        <v>-498</v>
      </c>
      <c r="DV251" s="151">
        <v>-6280</v>
      </c>
      <c r="DW251" s="138">
        <v>-4464</v>
      </c>
      <c r="DX251" s="138">
        <v>33345</v>
      </c>
      <c r="DY251" s="146">
        <v>26135</v>
      </c>
      <c r="DZ251" s="196">
        <v>1649</v>
      </c>
      <c r="EA251" s="146">
        <v>5561</v>
      </c>
      <c r="EB251" s="114">
        <v>19.5</v>
      </c>
      <c r="EC251" s="152"/>
      <c r="ED251" s="138">
        <v>149</v>
      </c>
      <c r="EE251" s="138">
        <v>20414</v>
      </c>
      <c r="EF251" s="138">
        <v>21614</v>
      </c>
      <c r="EG251" s="138">
        <v>22961</v>
      </c>
      <c r="EH251" s="138"/>
      <c r="EI251" s="138"/>
      <c r="EJ251" s="138"/>
      <c r="EK251" s="3">
        <v>-3165</v>
      </c>
      <c r="EL251" s="138">
        <v>332</v>
      </c>
      <c r="EM251" s="138">
        <v>142</v>
      </c>
      <c r="EN251" s="3">
        <v>-8844</v>
      </c>
      <c r="EO251" s="138">
        <v>1858</v>
      </c>
      <c r="EP251" s="138">
        <v>325</v>
      </c>
      <c r="EQ251" s="3">
        <v>-8849</v>
      </c>
      <c r="ER251" s="138">
        <v>1929</v>
      </c>
      <c r="ES251" s="138">
        <v>97</v>
      </c>
      <c r="ET251" s="163">
        <v>3600</v>
      </c>
      <c r="EU251" s="163"/>
      <c r="EV251" s="138">
        <v>4181</v>
      </c>
      <c r="EW251" s="138">
        <v>2000</v>
      </c>
      <c r="EX251" s="138">
        <v>6008</v>
      </c>
      <c r="EY251" s="138">
        <v>2500</v>
      </c>
      <c r="EZ251" s="138">
        <v>17135</v>
      </c>
      <c r="FA251" s="138">
        <v>14127</v>
      </c>
      <c r="FB251" s="138">
        <v>3008</v>
      </c>
      <c r="FC251" s="138">
        <v>3346</v>
      </c>
      <c r="FD251" s="138">
        <v>20347</v>
      </c>
      <c r="FE251" s="138">
        <v>13694</v>
      </c>
      <c r="FF251" s="138">
        <v>6653</v>
      </c>
      <c r="FG251" s="138">
        <v>3384</v>
      </c>
      <c r="FH251" s="138">
        <v>22576</v>
      </c>
      <c r="FI251" s="138">
        <v>18876</v>
      </c>
      <c r="FJ251" s="138">
        <v>3700</v>
      </c>
      <c r="FK251" s="138">
        <v>3214</v>
      </c>
      <c r="FL251" s="147">
        <v>5267</v>
      </c>
      <c r="FM251" s="147">
        <v>5793.52501697985</v>
      </c>
      <c r="FO251" s="181">
        <f t="shared" si="12"/>
        <v>1340.2564102564102</v>
      </c>
      <c r="FP251" s="179">
        <f t="shared" si="11"/>
        <v>150.86182015493137</v>
      </c>
      <c r="FR251" s="184"/>
      <c r="FV251" s="184">
        <v>2821</v>
      </c>
      <c r="FW251" s="2">
        <f t="shared" si="13"/>
        <v>-2821</v>
      </c>
    </row>
    <row r="252" spans="1:179" ht="12.75">
      <c r="A252" s="82">
        <v>759</v>
      </c>
      <c r="B252" s="80" t="s">
        <v>241</v>
      </c>
      <c r="C252" s="191">
        <v>2360</v>
      </c>
      <c r="D252" s="146"/>
      <c r="E252" s="150">
        <v>0.02737226277372263</v>
      </c>
      <c r="F252" s="150">
        <v>46.8</v>
      </c>
      <c r="G252" s="151">
        <v>-4456</v>
      </c>
      <c r="H252" s="152"/>
      <c r="I252" s="152"/>
      <c r="J252" s="152"/>
      <c r="K252" s="150">
        <v>34.3</v>
      </c>
      <c r="L252" s="151">
        <v>327</v>
      </c>
      <c r="M252" s="151">
        <v>9</v>
      </c>
      <c r="N252" s="154">
        <v>13695.762711864407</v>
      </c>
      <c r="O252" s="146">
        <v>8443</v>
      </c>
      <c r="P252" s="139">
        <v>14887</v>
      </c>
      <c r="Q252" s="139">
        <v>27676</v>
      </c>
      <c r="R252" s="139">
        <v>-12789</v>
      </c>
      <c r="S252" s="146">
        <v>5439</v>
      </c>
      <c r="T252" s="139">
        <v>7318</v>
      </c>
      <c r="U252" s="160"/>
      <c r="W252" s="138">
        <v>-234</v>
      </c>
      <c r="X252" s="138">
        <v>-31</v>
      </c>
      <c r="Y252" s="139">
        <v>-297</v>
      </c>
      <c r="Z252" s="138">
        <v>702</v>
      </c>
      <c r="AA252" s="139"/>
      <c r="AC252" s="139">
        <v>-999</v>
      </c>
      <c r="AG252" s="139">
        <v>-999</v>
      </c>
      <c r="AH252" s="139">
        <v>610</v>
      </c>
      <c r="AI252" s="139">
        <v>-297</v>
      </c>
      <c r="AJ252" s="176"/>
      <c r="AK252" s="138">
        <v>-46</v>
      </c>
      <c r="AL252" s="151">
        <v>-1835</v>
      </c>
      <c r="AM252" s="151">
        <v>-2034</v>
      </c>
      <c r="AN252" s="146">
        <v>5439</v>
      </c>
      <c r="AO252" s="139">
        <v>4401</v>
      </c>
      <c r="AP252" s="139">
        <v>669</v>
      </c>
      <c r="AQ252" s="139">
        <v>369</v>
      </c>
      <c r="AR252" s="114">
        <v>20.75</v>
      </c>
      <c r="AS252" s="152"/>
      <c r="AT252" s="138">
        <v>308</v>
      </c>
      <c r="AU252" s="191">
        <v>2329</v>
      </c>
      <c r="AV252" s="146"/>
      <c r="AW252" s="150">
        <v>0.564162389174055</v>
      </c>
      <c r="AX252" s="150">
        <v>43.9</v>
      </c>
      <c r="AY252" s="151">
        <v>-4526</v>
      </c>
      <c r="AZ252" s="152"/>
      <c r="BA252" s="152"/>
      <c r="BB252" s="152"/>
      <c r="BC252" s="150">
        <v>35</v>
      </c>
      <c r="BD252" s="151">
        <v>274</v>
      </c>
      <c r="BE252" s="151">
        <v>7</v>
      </c>
      <c r="BF252" s="154">
        <v>14816.659510519536</v>
      </c>
      <c r="BG252" s="146">
        <v>8363</v>
      </c>
      <c r="BH252" s="139">
        <v>16133</v>
      </c>
      <c r="BI252" s="139">
        <v>28182</v>
      </c>
      <c r="BJ252" s="139">
        <v>-12049</v>
      </c>
      <c r="BK252" s="146">
        <v>5534</v>
      </c>
      <c r="BL252" s="146">
        <v>8058</v>
      </c>
      <c r="BM252" s="160"/>
      <c r="BO252" s="138">
        <v>-238</v>
      </c>
      <c r="BP252" s="138">
        <v>-358</v>
      </c>
      <c r="BQ252" s="139">
        <v>947</v>
      </c>
      <c r="BR252" s="138">
        <v>674</v>
      </c>
      <c r="BS252" s="139"/>
      <c r="BU252" s="139">
        <v>273</v>
      </c>
      <c r="BY252" s="138">
        <v>273</v>
      </c>
      <c r="BZ252" s="139">
        <v>883</v>
      </c>
      <c r="CA252" s="139">
        <v>273</v>
      </c>
      <c r="CB252" s="176"/>
      <c r="CC252" s="138">
        <v>-219</v>
      </c>
      <c r="CD252" s="151">
        <v>-1881</v>
      </c>
      <c r="CE252" s="151">
        <v>-267</v>
      </c>
      <c r="CF252" s="138">
        <v>5534</v>
      </c>
      <c r="CG252" s="139">
        <v>4763</v>
      </c>
      <c r="CH252" s="139">
        <v>394</v>
      </c>
      <c r="CI252" s="139">
        <v>377</v>
      </c>
      <c r="CJ252" s="114">
        <v>21</v>
      </c>
      <c r="CK252" s="152"/>
      <c r="CL252" s="138">
        <v>39</v>
      </c>
      <c r="CM252" s="190">
        <v>2284</v>
      </c>
      <c r="CN252" s="146"/>
      <c r="CO252" s="150">
        <v>0.10004810004810005</v>
      </c>
      <c r="CP252" s="150">
        <v>44.41745912293904</v>
      </c>
      <c r="CQ252" s="151">
        <v>-4644.045534150613</v>
      </c>
      <c r="CR252" s="152"/>
      <c r="CS252" s="152"/>
      <c r="CT252" s="152"/>
      <c r="CU252" s="150">
        <v>33.39465481118095</v>
      </c>
      <c r="CV252" s="151">
        <v>297.28546409807353</v>
      </c>
      <c r="CW252" s="151">
        <v>7.876529477196886</v>
      </c>
      <c r="CX252" s="154">
        <v>13776.269702276708</v>
      </c>
      <c r="CY252" s="146">
        <v>8544</v>
      </c>
      <c r="CZ252" s="139">
        <v>15559</v>
      </c>
      <c r="DA252" s="139">
        <v>29102</v>
      </c>
      <c r="DB252" s="139">
        <v>-13543</v>
      </c>
      <c r="DC252" s="146">
        <v>5674</v>
      </c>
      <c r="DD252" s="146">
        <v>8001</v>
      </c>
      <c r="DE252" s="160"/>
      <c r="DG252" s="138">
        <v>-201</v>
      </c>
      <c r="DH252" s="138">
        <v>71</v>
      </c>
      <c r="DI252" s="139">
        <v>2</v>
      </c>
      <c r="DJ252" s="138">
        <v>527</v>
      </c>
      <c r="DK252" s="139"/>
      <c r="DM252" s="139">
        <v>-525</v>
      </c>
      <c r="DQ252" s="138">
        <v>-525</v>
      </c>
      <c r="DR252" s="139">
        <v>357</v>
      </c>
      <c r="DS252" s="139">
        <v>2</v>
      </c>
      <c r="DT252" s="176"/>
      <c r="DU252" s="138">
        <v>164</v>
      </c>
      <c r="DV252" s="151">
        <v>-1873</v>
      </c>
      <c r="DW252" s="138">
        <v>-209</v>
      </c>
      <c r="DX252" s="138">
        <v>5674</v>
      </c>
      <c r="DY252" s="146">
        <v>4830</v>
      </c>
      <c r="DZ252" s="196">
        <v>433</v>
      </c>
      <c r="EA252" s="146">
        <v>411</v>
      </c>
      <c r="EB252" s="114">
        <v>21</v>
      </c>
      <c r="EC252" s="152"/>
      <c r="ED252" s="138">
        <v>276</v>
      </c>
      <c r="EE252" s="138">
        <v>14456</v>
      </c>
      <c r="EF252" s="138">
        <v>14486</v>
      </c>
      <c r="EG252" s="138">
        <v>15299</v>
      </c>
      <c r="EH252" s="138"/>
      <c r="EI252" s="138">
        <v>320</v>
      </c>
      <c r="EJ252" s="138"/>
      <c r="EK252" s="3">
        <v>-2157</v>
      </c>
      <c r="EL252" s="138">
        <v>189</v>
      </c>
      <c r="EM252" s="138">
        <v>233</v>
      </c>
      <c r="EN252" s="3">
        <v>-3756</v>
      </c>
      <c r="EO252" s="138">
        <v>21</v>
      </c>
      <c r="EP252" s="138">
        <v>3195</v>
      </c>
      <c r="EQ252" s="3">
        <v>-262</v>
      </c>
      <c r="ES252" s="138">
        <v>51</v>
      </c>
      <c r="ET252" s="163">
        <v>2469</v>
      </c>
      <c r="EU252" s="163">
        <v>1200</v>
      </c>
      <c r="EV252" s="138">
        <v>1800</v>
      </c>
      <c r="EW252" s="138"/>
      <c r="EX252" s="138">
        <v>1701</v>
      </c>
      <c r="EY252" s="138">
        <v>100</v>
      </c>
      <c r="EZ252" s="138">
        <v>10137</v>
      </c>
      <c r="FA252" s="138">
        <v>7056</v>
      </c>
      <c r="FB252" s="138">
        <v>3081</v>
      </c>
      <c r="FC252" s="138">
        <v>1451</v>
      </c>
      <c r="FD252" s="138">
        <v>10055</v>
      </c>
      <c r="FE252" s="138">
        <v>6982</v>
      </c>
      <c r="FF252" s="138">
        <v>3073</v>
      </c>
      <c r="FG252" s="138">
        <v>1160</v>
      </c>
      <c r="FH252" s="138">
        <v>9983</v>
      </c>
      <c r="FI252" s="138">
        <v>6716</v>
      </c>
      <c r="FJ252" s="138">
        <v>3267</v>
      </c>
      <c r="FK252" s="138">
        <v>1126</v>
      </c>
      <c r="FL252" s="147">
        <v>5890</v>
      </c>
      <c r="FM252" s="147">
        <v>6035.637612709317</v>
      </c>
      <c r="FO252" s="181">
        <f t="shared" si="12"/>
        <v>230</v>
      </c>
      <c r="FP252" s="179">
        <f t="shared" si="11"/>
        <v>100.70052539404553</v>
      </c>
      <c r="FR252" s="184"/>
      <c r="FV252" s="184">
        <v>1835</v>
      </c>
      <c r="FW252" s="2">
        <f t="shared" si="13"/>
        <v>-1835</v>
      </c>
    </row>
    <row r="253" spans="1:179" ht="12.75">
      <c r="A253" s="82">
        <v>761</v>
      </c>
      <c r="B253" s="80" t="s">
        <v>242</v>
      </c>
      <c r="C253" s="191">
        <v>9268</v>
      </c>
      <c r="D253" s="146"/>
      <c r="E253" s="150">
        <v>4.19481981981982</v>
      </c>
      <c r="F253" s="150">
        <v>17.2</v>
      </c>
      <c r="G253" s="151">
        <v>-143</v>
      </c>
      <c r="H253" s="152"/>
      <c r="I253" s="152"/>
      <c r="J253" s="152"/>
      <c r="K253" s="150">
        <v>82.8</v>
      </c>
      <c r="L253" s="151">
        <v>342</v>
      </c>
      <c r="M253" s="151">
        <v>20</v>
      </c>
      <c r="N253" s="154">
        <v>6080.060422960724</v>
      </c>
      <c r="O253" s="146">
        <v>24363</v>
      </c>
      <c r="P253" s="139">
        <v>7449</v>
      </c>
      <c r="Q253" s="139">
        <v>50126</v>
      </c>
      <c r="R253" s="139">
        <v>-42677</v>
      </c>
      <c r="S253" s="146">
        <v>22708</v>
      </c>
      <c r="T253" s="139">
        <v>22995</v>
      </c>
      <c r="U253" s="160"/>
      <c r="W253" s="138">
        <v>-29</v>
      </c>
      <c r="X253" s="138">
        <v>324</v>
      </c>
      <c r="Y253" s="139">
        <v>3321</v>
      </c>
      <c r="Z253" s="138">
        <v>1733</v>
      </c>
      <c r="AA253" s="139"/>
      <c r="AB253" s="139"/>
      <c r="AC253" s="139">
        <v>1588</v>
      </c>
      <c r="AD253" s="139"/>
      <c r="AF253" s="139"/>
      <c r="AG253" s="139">
        <v>1588</v>
      </c>
      <c r="AH253" s="139">
        <v>20396</v>
      </c>
      <c r="AI253" s="139">
        <v>3299</v>
      </c>
      <c r="AJ253" s="176"/>
      <c r="AK253" s="139">
        <v>85</v>
      </c>
      <c r="AL253" s="151">
        <v>-484</v>
      </c>
      <c r="AM253" s="151">
        <v>-2265</v>
      </c>
      <c r="AN253" s="146">
        <v>22708</v>
      </c>
      <c r="AO253" s="139">
        <v>20337</v>
      </c>
      <c r="AP253" s="139">
        <v>1195</v>
      </c>
      <c r="AQ253" s="139">
        <v>1176</v>
      </c>
      <c r="AR253" s="114">
        <v>18.5</v>
      </c>
      <c r="AS253" s="152"/>
      <c r="AT253" s="138">
        <v>93</v>
      </c>
      <c r="AU253" s="191">
        <v>9229</v>
      </c>
      <c r="AV253" s="146"/>
      <c r="AW253" s="150">
        <v>3.8037974683544302</v>
      </c>
      <c r="AX253" s="150">
        <v>23.4</v>
      </c>
      <c r="AY253" s="151">
        <v>-729</v>
      </c>
      <c r="AZ253" s="152"/>
      <c r="BA253" s="152"/>
      <c r="BB253" s="152"/>
      <c r="BC253" s="150">
        <v>77.9</v>
      </c>
      <c r="BD253" s="151">
        <v>189</v>
      </c>
      <c r="BE253" s="151">
        <v>10</v>
      </c>
      <c r="BF253" s="154">
        <v>6741.792176833894</v>
      </c>
      <c r="BG253" s="146">
        <v>25738</v>
      </c>
      <c r="BH253" s="139">
        <v>7703</v>
      </c>
      <c r="BI253" s="139">
        <v>53179</v>
      </c>
      <c r="BJ253" s="139">
        <v>-45476</v>
      </c>
      <c r="BK253" s="146">
        <v>23307</v>
      </c>
      <c r="BL253" s="146">
        <v>24384</v>
      </c>
      <c r="BM253" s="160"/>
      <c r="BO253" s="138">
        <v>-145</v>
      </c>
      <c r="BP253" s="138">
        <v>179</v>
      </c>
      <c r="BQ253" s="139">
        <v>2249</v>
      </c>
      <c r="BR253" s="138">
        <v>1954</v>
      </c>
      <c r="BS253" s="139">
        <v>97</v>
      </c>
      <c r="BT253" s="139"/>
      <c r="BU253" s="139">
        <v>392</v>
      </c>
      <c r="BV253" s="139"/>
      <c r="BX253" s="139"/>
      <c r="BY253" s="138">
        <v>392</v>
      </c>
      <c r="BZ253" s="139">
        <v>20788</v>
      </c>
      <c r="CA253" s="139">
        <v>2289</v>
      </c>
      <c r="CB253" s="176"/>
      <c r="CC253" s="139">
        <v>173</v>
      </c>
      <c r="CD253" s="151">
        <v>-477</v>
      </c>
      <c r="CE253" s="151">
        <v>-5529</v>
      </c>
      <c r="CF253" s="138">
        <v>23307</v>
      </c>
      <c r="CG253" s="139">
        <v>21236</v>
      </c>
      <c r="CH253" s="139">
        <v>872</v>
      </c>
      <c r="CI253" s="139">
        <v>1199</v>
      </c>
      <c r="CJ253" s="114">
        <v>18.5</v>
      </c>
      <c r="CK253" s="152"/>
      <c r="CL253" s="138">
        <v>89</v>
      </c>
      <c r="CM253" s="190">
        <v>9146</v>
      </c>
      <c r="CN253" s="146"/>
      <c r="CO253" s="150">
        <v>4.645038167938932</v>
      </c>
      <c r="CP253" s="150">
        <v>25.786728091866806</v>
      </c>
      <c r="CQ253" s="151">
        <v>-875.2460091843429</v>
      </c>
      <c r="CR253" s="152"/>
      <c r="CS253" s="152"/>
      <c r="CT253" s="152"/>
      <c r="CU253" s="150">
        <v>76.13989213923844</v>
      </c>
      <c r="CV253" s="151">
        <v>391.20927181281434</v>
      </c>
      <c r="CW253" s="151">
        <v>21.212864452204986</v>
      </c>
      <c r="CX253" s="154">
        <v>6731.357970697573</v>
      </c>
      <c r="CY253" s="146">
        <v>25840</v>
      </c>
      <c r="CZ253" s="139">
        <v>8003</v>
      </c>
      <c r="DA253" s="139">
        <v>54432</v>
      </c>
      <c r="DB253" s="139">
        <v>-46429</v>
      </c>
      <c r="DC253" s="146">
        <v>26036</v>
      </c>
      <c r="DD253" s="146">
        <v>25003</v>
      </c>
      <c r="DE253" s="160"/>
      <c r="DG253" s="138">
        <v>-116</v>
      </c>
      <c r="DH253" s="138">
        <v>250</v>
      </c>
      <c r="DI253" s="139">
        <v>4744</v>
      </c>
      <c r="DJ253" s="138">
        <v>2230</v>
      </c>
      <c r="DK253" s="139"/>
      <c r="DL253" s="139"/>
      <c r="DM253" s="139">
        <v>2514</v>
      </c>
      <c r="DN253" s="139"/>
      <c r="DP253" s="139"/>
      <c r="DQ253" s="138">
        <v>2514</v>
      </c>
      <c r="DR253" s="139">
        <v>23302</v>
      </c>
      <c r="DS253" s="139">
        <v>4667</v>
      </c>
      <c r="DT253" s="176"/>
      <c r="DU253" s="139">
        <v>853</v>
      </c>
      <c r="DV253" s="151">
        <v>-924</v>
      </c>
      <c r="DW253" s="138">
        <v>-942</v>
      </c>
      <c r="DX253" s="138">
        <v>26036</v>
      </c>
      <c r="DY253" s="146">
        <v>23808</v>
      </c>
      <c r="DZ253" s="196">
        <v>903</v>
      </c>
      <c r="EA253" s="146">
        <v>1325</v>
      </c>
      <c r="EB253" s="114">
        <v>19</v>
      </c>
      <c r="EC253" s="152"/>
      <c r="ED253" s="138">
        <v>53</v>
      </c>
      <c r="EE253" s="138">
        <v>18850</v>
      </c>
      <c r="EF253" s="138">
        <v>19871</v>
      </c>
      <c r="EG253" s="138">
        <v>20943</v>
      </c>
      <c r="EH253" s="138"/>
      <c r="EI253" s="138"/>
      <c r="EJ253" s="138"/>
      <c r="EK253" s="3">
        <v>-6302</v>
      </c>
      <c r="EL253" s="138">
        <v>674</v>
      </c>
      <c r="EM253" s="138">
        <v>64</v>
      </c>
      <c r="EN253" s="3">
        <v>-8408</v>
      </c>
      <c r="EO253" s="138">
        <v>519</v>
      </c>
      <c r="EP253" s="138">
        <v>71</v>
      </c>
      <c r="EQ253" s="3">
        <v>-5878</v>
      </c>
      <c r="ER253" s="138">
        <v>98</v>
      </c>
      <c r="ES253" s="138">
        <v>171</v>
      </c>
      <c r="ET253" s="163"/>
      <c r="EU253" s="163"/>
      <c r="EV253" s="138">
        <v>5000</v>
      </c>
      <c r="EW253" s="138"/>
      <c r="EX253" s="138">
        <v>3000</v>
      </c>
      <c r="EY253" s="138"/>
      <c r="EZ253" s="138">
        <v>2693</v>
      </c>
      <c r="FA253" s="138">
        <v>2216</v>
      </c>
      <c r="FB253" s="138">
        <v>477</v>
      </c>
      <c r="FC253" s="138">
        <v>683</v>
      </c>
      <c r="FD253" s="138">
        <v>7217</v>
      </c>
      <c r="FE253" s="138">
        <v>6292</v>
      </c>
      <c r="FF253" s="138">
        <v>925</v>
      </c>
      <c r="FG253" s="138">
        <v>617</v>
      </c>
      <c r="FH253" s="138">
        <v>9292</v>
      </c>
      <c r="FI253" s="138">
        <v>8304</v>
      </c>
      <c r="FJ253" s="138">
        <v>988</v>
      </c>
      <c r="FK253" s="138">
        <v>784</v>
      </c>
      <c r="FL253" s="147">
        <v>1305</v>
      </c>
      <c r="FM253" s="147">
        <v>1801.0618701917867</v>
      </c>
      <c r="FO253" s="181">
        <f t="shared" si="12"/>
        <v>1253.0526315789473</v>
      </c>
      <c r="FP253" s="179">
        <f t="shared" si="11"/>
        <v>137.00553592597282</v>
      </c>
      <c r="FR253" s="184"/>
      <c r="FV253" s="184">
        <v>484</v>
      </c>
      <c r="FW253" s="2">
        <f t="shared" si="13"/>
        <v>-484</v>
      </c>
    </row>
    <row r="254" spans="1:179" ht="12.75">
      <c r="A254" s="82">
        <v>762</v>
      </c>
      <c r="B254" s="80" t="s">
        <v>243</v>
      </c>
      <c r="C254" s="191">
        <v>4600</v>
      </c>
      <c r="D254" s="146"/>
      <c r="E254" s="150">
        <v>0.5786008230452675</v>
      </c>
      <c r="F254" s="150">
        <v>37.9</v>
      </c>
      <c r="G254" s="151">
        <v>-2012</v>
      </c>
      <c r="H254" s="152"/>
      <c r="I254" s="152"/>
      <c r="J254" s="152"/>
      <c r="K254" s="150">
        <v>56.7</v>
      </c>
      <c r="L254" s="151">
        <v>107</v>
      </c>
      <c r="M254" s="151">
        <v>5</v>
      </c>
      <c r="N254" s="154">
        <v>7009.565217391304</v>
      </c>
      <c r="O254" s="146">
        <v>7453</v>
      </c>
      <c r="P254" s="139">
        <v>3302</v>
      </c>
      <c r="Q254" s="139">
        <v>28006</v>
      </c>
      <c r="R254" s="139">
        <v>-24704</v>
      </c>
      <c r="S254" s="146">
        <v>12085</v>
      </c>
      <c r="T254" s="139">
        <v>12941</v>
      </c>
      <c r="U254" s="160"/>
      <c r="W254" s="138">
        <v>-153</v>
      </c>
      <c r="X254" s="138">
        <v>277</v>
      </c>
      <c r="Y254" s="139">
        <v>446</v>
      </c>
      <c r="Z254" s="138">
        <v>1133</v>
      </c>
      <c r="AA254" s="138">
        <v>58</v>
      </c>
      <c r="AB254" s="138">
        <v>34</v>
      </c>
      <c r="AC254" s="139">
        <v>-663</v>
      </c>
      <c r="AD254" s="138">
        <v>84</v>
      </c>
      <c r="AG254" s="139">
        <v>-579</v>
      </c>
      <c r="AH254" s="139">
        <v>3410</v>
      </c>
      <c r="AI254" s="139">
        <v>426</v>
      </c>
      <c r="AJ254" s="176"/>
      <c r="AK254" s="138">
        <v>488</v>
      </c>
      <c r="AL254" s="151">
        <v>-958</v>
      </c>
      <c r="AM254" s="151">
        <v>-2273</v>
      </c>
      <c r="AN254" s="146">
        <v>12085</v>
      </c>
      <c r="AO254" s="139">
        <v>9772</v>
      </c>
      <c r="AP254" s="139">
        <v>1712</v>
      </c>
      <c r="AQ254" s="139">
        <v>601</v>
      </c>
      <c r="AR254" s="114">
        <v>19.75</v>
      </c>
      <c r="AS254" s="152"/>
      <c r="AT254" s="138">
        <v>249</v>
      </c>
      <c r="AU254" s="191">
        <v>4493</v>
      </c>
      <c r="AV254" s="146"/>
      <c r="AW254" s="150">
        <v>-0.4446294754371357</v>
      </c>
      <c r="AX254" s="150">
        <v>49.8</v>
      </c>
      <c r="AY254" s="151">
        <v>-2860</v>
      </c>
      <c r="AZ254" s="152"/>
      <c r="BA254" s="152"/>
      <c r="BB254" s="152"/>
      <c r="BC254" s="150">
        <v>44</v>
      </c>
      <c r="BD254" s="151">
        <v>68</v>
      </c>
      <c r="BE254" s="151">
        <v>3</v>
      </c>
      <c r="BF254" s="154">
        <v>7362.3414199866465</v>
      </c>
      <c r="BG254" s="146">
        <v>7505</v>
      </c>
      <c r="BH254" s="139">
        <v>3386</v>
      </c>
      <c r="BI254" s="139">
        <v>28957</v>
      </c>
      <c r="BJ254" s="139">
        <v>-25571</v>
      </c>
      <c r="BK254" s="146">
        <v>11401</v>
      </c>
      <c r="BL254" s="146">
        <v>13273</v>
      </c>
      <c r="BM254" s="160"/>
      <c r="BO254" s="138">
        <v>-180</v>
      </c>
      <c r="BP254" s="138">
        <v>348</v>
      </c>
      <c r="BQ254" s="139">
        <v>-729</v>
      </c>
      <c r="BR254" s="138">
        <v>2666</v>
      </c>
      <c r="BU254" s="139">
        <v>-3395</v>
      </c>
      <c r="BV254" s="138">
        <v>81</v>
      </c>
      <c r="BY254" s="138">
        <v>-3314</v>
      </c>
      <c r="BZ254" s="139">
        <v>97</v>
      </c>
      <c r="CA254" s="139">
        <v>-771</v>
      </c>
      <c r="CB254" s="176"/>
      <c r="CC254" s="138">
        <v>147</v>
      </c>
      <c r="CD254" s="151">
        <v>-1006</v>
      </c>
      <c r="CE254" s="151">
        <v>-3609</v>
      </c>
      <c r="CF254" s="138">
        <v>11401</v>
      </c>
      <c r="CG254" s="139">
        <v>9740</v>
      </c>
      <c r="CH254" s="139">
        <v>1042</v>
      </c>
      <c r="CI254" s="139">
        <v>619</v>
      </c>
      <c r="CJ254" s="114">
        <v>19.75</v>
      </c>
      <c r="CK254" s="152"/>
      <c r="CL254" s="138">
        <v>295</v>
      </c>
      <c r="CM254" s="190">
        <v>4454</v>
      </c>
      <c r="CN254" s="146"/>
      <c r="CO254" s="150">
        <v>1.490228013029316</v>
      </c>
      <c r="CP254" s="150">
        <v>43.85220280985753</v>
      </c>
      <c r="CQ254" s="151">
        <v>-2709.0255949708126</v>
      </c>
      <c r="CR254" s="152"/>
      <c r="CS254" s="152"/>
      <c r="CT254" s="152"/>
      <c r="CU254" s="150">
        <v>45.85887220349372</v>
      </c>
      <c r="CV254" s="151">
        <v>79.25460260440053</v>
      </c>
      <c r="CW254" s="151">
        <v>4.135479522403389</v>
      </c>
      <c r="CX254" s="154">
        <v>6995.0606196677145</v>
      </c>
      <c r="CY254" s="146">
        <v>7388</v>
      </c>
      <c r="CZ254" s="139">
        <v>3548</v>
      </c>
      <c r="DA254" s="139">
        <v>29031</v>
      </c>
      <c r="DB254" s="139">
        <v>-25483</v>
      </c>
      <c r="DC254" s="146">
        <v>12492</v>
      </c>
      <c r="DD254" s="146">
        <v>14367</v>
      </c>
      <c r="DE254" s="160"/>
      <c r="DG254" s="138">
        <v>-150</v>
      </c>
      <c r="DH254" s="138">
        <v>442</v>
      </c>
      <c r="DI254" s="139">
        <v>1668</v>
      </c>
      <c r="DJ254" s="138">
        <v>1145</v>
      </c>
      <c r="DM254" s="139">
        <v>523</v>
      </c>
      <c r="DN254" s="138">
        <v>78</v>
      </c>
      <c r="DQ254" s="138">
        <v>601</v>
      </c>
      <c r="DR254" s="139">
        <v>698</v>
      </c>
      <c r="DS254" s="139">
        <v>1668</v>
      </c>
      <c r="DT254" s="176"/>
      <c r="DU254" s="138">
        <v>-87</v>
      </c>
      <c r="DV254" s="151">
        <v>-1066</v>
      </c>
      <c r="DW254" s="138">
        <v>767</v>
      </c>
      <c r="DX254" s="138">
        <v>12492</v>
      </c>
      <c r="DY254" s="146">
        <v>10569</v>
      </c>
      <c r="DZ254" s="196">
        <v>1293</v>
      </c>
      <c r="EA254" s="146">
        <v>630</v>
      </c>
      <c r="EB254" s="114">
        <v>20.5</v>
      </c>
      <c r="EC254" s="152"/>
      <c r="ED254" s="138">
        <v>99</v>
      </c>
      <c r="EE254" s="138">
        <v>18191</v>
      </c>
      <c r="EF254" s="138">
        <v>19034</v>
      </c>
      <c r="EG254" s="138">
        <v>19405</v>
      </c>
      <c r="EH254" s="138"/>
      <c r="EI254" s="138"/>
      <c r="EJ254" s="138">
        <v>550</v>
      </c>
      <c r="EK254" s="3">
        <v>-3469</v>
      </c>
      <c r="EL254" s="138">
        <v>624</v>
      </c>
      <c r="EM254" s="138">
        <v>147</v>
      </c>
      <c r="EN254" s="3">
        <v>-2919</v>
      </c>
      <c r="EO254" s="138">
        <v>32</v>
      </c>
      <c r="EP254" s="138">
        <v>48</v>
      </c>
      <c r="EQ254" s="3">
        <v>-907</v>
      </c>
      <c r="ES254" s="138">
        <v>6</v>
      </c>
      <c r="ET254" s="163">
        <v>2354</v>
      </c>
      <c r="EU254" s="163"/>
      <c r="EV254" s="138">
        <v>1600</v>
      </c>
      <c r="EW254" s="138">
        <v>2900</v>
      </c>
      <c r="EX254" s="138"/>
      <c r="EY254" s="138">
        <v>300</v>
      </c>
      <c r="EZ254" s="138">
        <v>8216</v>
      </c>
      <c r="FA254" s="138">
        <v>7210</v>
      </c>
      <c r="FB254" s="138">
        <v>1006</v>
      </c>
      <c r="FC254" s="138">
        <v>445</v>
      </c>
      <c r="FD254" s="138">
        <v>11710</v>
      </c>
      <c r="FE254" s="138">
        <v>7744</v>
      </c>
      <c r="FF254" s="138">
        <v>3966</v>
      </c>
      <c r="FG254" s="138">
        <v>421</v>
      </c>
      <c r="FH254" s="138">
        <v>10943</v>
      </c>
      <c r="FI254" s="138">
        <v>6818</v>
      </c>
      <c r="FJ254" s="138">
        <v>4125</v>
      </c>
      <c r="FK254" s="138">
        <v>402</v>
      </c>
      <c r="FL254" s="147">
        <v>3030</v>
      </c>
      <c r="FM254" s="147">
        <v>4025.150233696862</v>
      </c>
      <c r="FO254" s="181">
        <f t="shared" si="12"/>
        <v>515.560975609756</v>
      </c>
      <c r="FP254" s="179">
        <f t="shared" si="11"/>
        <v>115.7523519554908</v>
      </c>
      <c r="FR254" s="184"/>
      <c r="FV254" s="184">
        <v>958</v>
      </c>
      <c r="FW254" s="2">
        <f t="shared" si="13"/>
        <v>-958</v>
      </c>
    </row>
    <row r="255" spans="1:179" ht="12.75">
      <c r="A255" s="82">
        <v>765</v>
      </c>
      <c r="B255" s="80" t="s">
        <v>244</v>
      </c>
      <c r="C255" s="191">
        <v>10697</v>
      </c>
      <c r="D255" s="146"/>
      <c r="E255" s="150">
        <v>0.7624084621643613</v>
      </c>
      <c r="F255" s="150">
        <v>20.4</v>
      </c>
      <c r="G255" s="151">
        <v>-825</v>
      </c>
      <c r="H255" s="152"/>
      <c r="I255" s="152"/>
      <c r="J255" s="152"/>
      <c r="K255" s="150">
        <v>71.2</v>
      </c>
      <c r="L255" s="151">
        <v>192</v>
      </c>
      <c r="M255" s="151">
        <v>11</v>
      </c>
      <c r="N255" s="154">
        <v>6639.244648032159</v>
      </c>
      <c r="O255" s="146">
        <v>19529</v>
      </c>
      <c r="P255" s="139">
        <v>10538</v>
      </c>
      <c r="Q255" s="139">
        <v>64063</v>
      </c>
      <c r="R255" s="139">
        <v>-53525</v>
      </c>
      <c r="S255" s="146">
        <v>32880</v>
      </c>
      <c r="T255" s="139">
        <v>20596</v>
      </c>
      <c r="U255" s="160"/>
      <c r="W255" s="138">
        <v>-86</v>
      </c>
      <c r="X255" s="138">
        <v>989</v>
      </c>
      <c r="Y255" s="139">
        <v>854</v>
      </c>
      <c r="Z255" s="138">
        <v>2222</v>
      </c>
      <c r="AC255" s="139">
        <v>-1368</v>
      </c>
      <c r="AD255" s="138">
        <v>207</v>
      </c>
      <c r="AG255" s="139">
        <v>-1161</v>
      </c>
      <c r="AH255" s="139">
        <v>-1560</v>
      </c>
      <c r="AI255" s="139">
        <v>1458</v>
      </c>
      <c r="AJ255" s="176"/>
      <c r="AK255" s="139">
        <v>629</v>
      </c>
      <c r="AL255" s="151">
        <v>-1146</v>
      </c>
      <c r="AM255" s="151">
        <v>-1562</v>
      </c>
      <c r="AN255" s="146">
        <v>32880</v>
      </c>
      <c r="AO255" s="139">
        <v>27351</v>
      </c>
      <c r="AP255" s="139">
        <v>3110</v>
      </c>
      <c r="AQ255" s="139">
        <v>2419</v>
      </c>
      <c r="AR255" s="114">
        <v>19.75</v>
      </c>
      <c r="AS255" s="152"/>
      <c r="AT255" s="138">
        <v>253</v>
      </c>
      <c r="AU255" s="191">
        <v>10682</v>
      </c>
      <c r="AV255" s="146"/>
      <c r="AW255" s="150">
        <v>-1.363211223694466</v>
      </c>
      <c r="AX255" s="150">
        <v>31.5</v>
      </c>
      <c r="AY255" s="151">
        <v>-1609</v>
      </c>
      <c r="AZ255" s="152"/>
      <c r="BA255" s="152"/>
      <c r="BB255" s="152"/>
      <c r="BC255" s="150">
        <v>60.8</v>
      </c>
      <c r="BD255" s="151">
        <v>32</v>
      </c>
      <c r="BE255" s="151">
        <v>2</v>
      </c>
      <c r="BF255" s="154">
        <v>6941.115895899644</v>
      </c>
      <c r="BG255" s="146">
        <v>20557</v>
      </c>
      <c r="BH255" s="139">
        <v>10753</v>
      </c>
      <c r="BI255" s="139">
        <v>66367</v>
      </c>
      <c r="BJ255" s="139">
        <v>-55614</v>
      </c>
      <c r="BK255" s="146">
        <v>32031</v>
      </c>
      <c r="BL255" s="146">
        <v>20548</v>
      </c>
      <c r="BM255" s="160"/>
      <c r="BO255" s="138">
        <v>-119</v>
      </c>
      <c r="BP255" s="138">
        <v>1269</v>
      </c>
      <c r="BQ255" s="139">
        <v>-1885</v>
      </c>
      <c r="BR255" s="138">
        <v>2260</v>
      </c>
      <c r="BU255" s="139">
        <v>-4145</v>
      </c>
      <c r="BV255" s="138">
        <v>207</v>
      </c>
      <c r="BY255" s="138">
        <v>-3938</v>
      </c>
      <c r="BZ255" s="139">
        <v>-5499</v>
      </c>
      <c r="CA255" s="139">
        <v>-3489</v>
      </c>
      <c r="CB255" s="176"/>
      <c r="CC255" s="139">
        <v>-197</v>
      </c>
      <c r="CD255" s="151">
        <v>-1147</v>
      </c>
      <c r="CE255" s="151">
        <v>-8491</v>
      </c>
      <c r="CF255" s="138">
        <v>32031</v>
      </c>
      <c r="CG255" s="139">
        <v>27600</v>
      </c>
      <c r="CH255" s="139">
        <v>1911</v>
      </c>
      <c r="CI255" s="139">
        <v>2520</v>
      </c>
      <c r="CJ255" s="114">
        <v>19.75</v>
      </c>
      <c r="CK255" s="152"/>
      <c r="CL255" s="138">
        <v>300</v>
      </c>
      <c r="CM255" s="190">
        <v>10659</v>
      </c>
      <c r="CN255" s="146"/>
      <c r="CO255" s="150">
        <v>0.1460548405148293</v>
      </c>
      <c r="CP255" s="150">
        <v>34.13231199739955</v>
      </c>
      <c r="CQ255" s="151">
        <v>-1945.3982549957782</v>
      </c>
      <c r="CR255" s="152"/>
      <c r="CS255" s="152"/>
      <c r="CT255" s="152"/>
      <c r="CU255" s="150">
        <v>68.68630552602235</v>
      </c>
      <c r="CV255" s="151">
        <v>91.00290834036964</v>
      </c>
      <c r="CW255" s="151">
        <v>3.354779411764706</v>
      </c>
      <c r="CX255" s="154">
        <v>9901.116427432218</v>
      </c>
      <c r="CY255" s="146">
        <v>23731</v>
      </c>
      <c r="CZ255" s="139">
        <v>11005</v>
      </c>
      <c r="DA255" s="139">
        <v>71785</v>
      </c>
      <c r="DB255" s="139">
        <v>-60780</v>
      </c>
      <c r="DC255" s="146">
        <v>35664</v>
      </c>
      <c r="DD255" s="146">
        <v>24088</v>
      </c>
      <c r="DE255" s="160"/>
      <c r="DG255" s="138">
        <v>221</v>
      </c>
      <c r="DH255" s="138">
        <v>906</v>
      </c>
      <c r="DI255" s="139">
        <v>99</v>
      </c>
      <c r="DJ255" s="138">
        <v>2448</v>
      </c>
      <c r="DK255" s="138">
        <v>24378</v>
      </c>
      <c r="DM255" s="139">
        <v>22029</v>
      </c>
      <c r="DN255" s="138">
        <v>207</v>
      </c>
      <c r="DQ255" s="138">
        <v>22236</v>
      </c>
      <c r="DR255" s="139">
        <v>16738</v>
      </c>
      <c r="DS255" s="139">
        <v>-121</v>
      </c>
      <c r="DT255" s="176"/>
      <c r="DU255" s="139">
        <v>-62</v>
      </c>
      <c r="DV255" s="151">
        <v>-1625</v>
      </c>
      <c r="DW255" s="138">
        <v>16426</v>
      </c>
      <c r="DX255" s="138">
        <v>35664</v>
      </c>
      <c r="DY255" s="146">
        <v>30537</v>
      </c>
      <c r="DZ255" s="196">
        <v>2377</v>
      </c>
      <c r="EA255" s="146">
        <v>2750</v>
      </c>
      <c r="EB255" s="114">
        <v>20.75</v>
      </c>
      <c r="EC255" s="152"/>
      <c r="ED255" s="138">
        <v>273</v>
      </c>
      <c r="EE255" s="138">
        <v>39008</v>
      </c>
      <c r="EF255" s="138">
        <v>40282</v>
      </c>
      <c r="EG255" s="138">
        <v>42378</v>
      </c>
      <c r="EH255" s="138"/>
      <c r="EI255" s="138"/>
      <c r="EJ255" s="138"/>
      <c r="EK255" s="3">
        <v>-3741</v>
      </c>
      <c r="EL255" s="138">
        <v>114</v>
      </c>
      <c r="EM255" s="138">
        <v>607</v>
      </c>
      <c r="EN255" s="3">
        <v>-6477</v>
      </c>
      <c r="EO255" s="138">
        <v>960</v>
      </c>
      <c r="EP255" s="138">
        <v>515</v>
      </c>
      <c r="EQ255" s="3">
        <v>-12008</v>
      </c>
      <c r="ER255" s="138">
        <v>1205</v>
      </c>
      <c r="ES255" s="138">
        <v>27350</v>
      </c>
      <c r="ET255" s="163">
        <v>1000</v>
      </c>
      <c r="EU255" s="163"/>
      <c r="EV255" s="138">
        <v>6000</v>
      </c>
      <c r="EW255" s="138"/>
      <c r="EX255" s="138">
        <v>5500</v>
      </c>
      <c r="EY255" s="138"/>
      <c r="EZ255" s="138">
        <v>6986</v>
      </c>
      <c r="FA255" s="138">
        <v>5914</v>
      </c>
      <c r="FB255" s="138">
        <v>1072</v>
      </c>
      <c r="FC255" s="138">
        <v>118</v>
      </c>
      <c r="FD255" s="138">
        <v>11840</v>
      </c>
      <c r="FE255" s="138">
        <v>10444</v>
      </c>
      <c r="FF255" s="138">
        <v>1396</v>
      </c>
      <c r="FG255" s="138">
        <v>50</v>
      </c>
      <c r="FH255" s="138">
        <v>15715</v>
      </c>
      <c r="FI255" s="138">
        <v>13698</v>
      </c>
      <c r="FJ255" s="138">
        <v>2017</v>
      </c>
      <c r="FK255" s="138">
        <v>19951</v>
      </c>
      <c r="FL255" s="147">
        <v>2041</v>
      </c>
      <c r="FM255" s="147">
        <v>2440.2733570492414</v>
      </c>
      <c r="FO255" s="181">
        <f t="shared" si="12"/>
        <v>1471.6626506024097</v>
      </c>
      <c r="FP255" s="179">
        <f t="shared" si="11"/>
        <v>138.06760958836756</v>
      </c>
      <c r="FR255" s="184"/>
      <c r="FV255" s="184">
        <v>1146</v>
      </c>
      <c r="FW255" s="2">
        <f t="shared" si="13"/>
        <v>-1146</v>
      </c>
    </row>
    <row r="256" spans="1:179" ht="12.75">
      <c r="A256" s="82">
        <v>768</v>
      </c>
      <c r="B256" s="80" t="s">
        <v>245</v>
      </c>
      <c r="C256" s="191">
        <v>2876</v>
      </c>
      <c r="D256" s="146"/>
      <c r="E256" s="150">
        <v>1.7014314928425358</v>
      </c>
      <c r="F256" s="150">
        <v>26</v>
      </c>
      <c r="G256" s="151">
        <v>-1292</v>
      </c>
      <c r="H256" s="152"/>
      <c r="I256" s="152"/>
      <c r="J256" s="152"/>
      <c r="K256" s="150">
        <v>68.8</v>
      </c>
      <c r="L256" s="151">
        <v>260</v>
      </c>
      <c r="M256" s="151">
        <v>14</v>
      </c>
      <c r="N256" s="154">
        <v>8219.401947148817</v>
      </c>
      <c r="O256" s="146">
        <v>5937</v>
      </c>
      <c r="P256" s="139">
        <v>2665</v>
      </c>
      <c r="Q256" s="139">
        <v>19102</v>
      </c>
      <c r="R256" s="139">
        <v>-16437</v>
      </c>
      <c r="S256" s="146">
        <v>7896</v>
      </c>
      <c r="T256" s="139">
        <v>9035</v>
      </c>
      <c r="U256" s="160"/>
      <c r="W256" s="138">
        <v>-84</v>
      </c>
      <c r="X256" s="138">
        <v>250</v>
      </c>
      <c r="Y256" s="139">
        <v>660</v>
      </c>
      <c r="Z256" s="138">
        <v>381</v>
      </c>
      <c r="AA256" s="139"/>
      <c r="AB256" s="139"/>
      <c r="AC256" s="139">
        <v>279</v>
      </c>
      <c r="AD256" s="139">
        <v>5</v>
      </c>
      <c r="AE256" s="139"/>
      <c r="AF256" s="139"/>
      <c r="AG256" s="139">
        <v>284</v>
      </c>
      <c r="AH256" s="139">
        <v>1808</v>
      </c>
      <c r="AI256" s="139">
        <v>567</v>
      </c>
      <c r="AJ256" s="176"/>
      <c r="AK256" s="139">
        <v>146</v>
      </c>
      <c r="AL256" s="151">
        <v>-317</v>
      </c>
      <c r="AM256" s="151">
        <v>61</v>
      </c>
      <c r="AN256" s="146">
        <v>7896</v>
      </c>
      <c r="AO256" s="139">
        <v>6078</v>
      </c>
      <c r="AP256" s="139">
        <v>1128</v>
      </c>
      <c r="AQ256" s="139">
        <v>690</v>
      </c>
      <c r="AR256" s="114">
        <v>20.5</v>
      </c>
      <c r="AS256" s="152"/>
      <c r="AT256" s="138">
        <v>180</v>
      </c>
      <c r="AU256" s="191">
        <v>2844</v>
      </c>
      <c r="AV256" s="146"/>
      <c r="AW256" s="150">
        <v>-0.8186274509803921</v>
      </c>
      <c r="AX256" s="150">
        <v>27.1</v>
      </c>
      <c r="AY256" s="151">
        <v>-1662</v>
      </c>
      <c r="AZ256" s="152"/>
      <c r="BA256" s="152"/>
      <c r="BB256" s="152"/>
      <c r="BC256" s="150">
        <v>65.6</v>
      </c>
      <c r="BD256" s="151">
        <v>69</v>
      </c>
      <c r="BE256" s="151">
        <v>3</v>
      </c>
      <c r="BF256" s="154">
        <v>7629.043600562588</v>
      </c>
      <c r="BG256" s="146">
        <v>6030</v>
      </c>
      <c r="BH256" s="139">
        <v>2896</v>
      </c>
      <c r="BI256" s="139">
        <v>20640</v>
      </c>
      <c r="BJ256" s="139">
        <v>-17744</v>
      </c>
      <c r="BK256" s="146">
        <v>7655</v>
      </c>
      <c r="BL256" s="146">
        <v>9539</v>
      </c>
      <c r="BM256" s="160"/>
      <c r="BO256" s="138">
        <v>-82</v>
      </c>
      <c r="BP256" s="138">
        <v>207</v>
      </c>
      <c r="BQ256" s="139">
        <v>-425</v>
      </c>
      <c r="BR256" s="138">
        <v>395</v>
      </c>
      <c r="BS256" s="139"/>
      <c r="BT256" s="139"/>
      <c r="BU256" s="139">
        <v>-820</v>
      </c>
      <c r="BV256" s="139">
        <v>5</v>
      </c>
      <c r="BW256" s="139"/>
      <c r="BX256" s="139"/>
      <c r="BY256" s="138">
        <v>-815</v>
      </c>
      <c r="BZ256" s="139">
        <v>993</v>
      </c>
      <c r="CA256" s="139">
        <v>-558</v>
      </c>
      <c r="CB256" s="176"/>
      <c r="CC256" s="139">
        <v>112</v>
      </c>
      <c r="CD256" s="151">
        <v>-317</v>
      </c>
      <c r="CE256" s="151">
        <v>-1020</v>
      </c>
      <c r="CF256" s="138">
        <v>7655</v>
      </c>
      <c r="CG256" s="139">
        <v>6198</v>
      </c>
      <c r="CH256" s="139">
        <v>757</v>
      </c>
      <c r="CI256" s="139">
        <v>700</v>
      </c>
      <c r="CJ256" s="114">
        <v>20.5</v>
      </c>
      <c r="CK256" s="152"/>
      <c r="CL256" s="138">
        <v>294</v>
      </c>
      <c r="CM256" s="190">
        <v>2794</v>
      </c>
      <c r="CN256" s="146"/>
      <c r="CO256" s="150">
        <v>-0.08958333333333333</v>
      </c>
      <c r="CP256" s="150">
        <v>32.12442592680271</v>
      </c>
      <c r="CQ256" s="151">
        <v>-1915.8911954187545</v>
      </c>
      <c r="CR256" s="152"/>
      <c r="CS256" s="152"/>
      <c r="CT256" s="152"/>
      <c r="CU256" s="150">
        <v>59.233739233739236</v>
      </c>
      <c r="CV256" s="151">
        <v>198.99785254115963</v>
      </c>
      <c r="CW256" s="151">
        <v>9.083340793125055</v>
      </c>
      <c r="CX256" s="154">
        <v>7996.420901932713</v>
      </c>
      <c r="CY256" s="146">
        <v>5991</v>
      </c>
      <c r="CZ256" s="139">
        <v>3173</v>
      </c>
      <c r="DA256" s="139">
        <v>21303</v>
      </c>
      <c r="DB256" s="139">
        <v>-18130</v>
      </c>
      <c r="DC256" s="146">
        <v>8130</v>
      </c>
      <c r="DD256" s="146">
        <v>9818</v>
      </c>
      <c r="DE256" s="160"/>
      <c r="DG256" s="138">
        <v>-79</v>
      </c>
      <c r="DH256" s="138">
        <v>130</v>
      </c>
      <c r="DI256" s="139">
        <v>-131</v>
      </c>
      <c r="DJ256" s="138">
        <v>417</v>
      </c>
      <c r="DK256" s="139"/>
      <c r="DL256" s="139"/>
      <c r="DM256" s="139">
        <v>-548</v>
      </c>
      <c r="DN256" s="139">
        <v>5</v>
      </c>
      <c r="DO256" s="139"/>
      <c r="DP256" s="139"/>
      <c r="DQ256" s="138">
        <v>-543</v>
      </c>
      <c r="DR256" s="139">
        <v>451</v>
      </c>
      <c r="DS256" s="139">
        <v>-341</v>
      </c>
      <c r="DT256" s="176"/>
      <c r="DU256" s="139">
        <v>-353</v>
      </c>
      <c r="DV256" s="151">
        <v>-392</v>
      </c>
      <c r="DW256" s="138">
        <v>-642</v>
      </c>
      <c r="DX256" s="138">
        <v>8130</v>
      </c>
      <c r="DY256" s="146">
        <v>6476</v>
      </c>
      <c r="DZ256" s="196">
        <v>871</v>
      </c>
      <c r="EA256" s="146">
        <v>783</v>
      </c>
      <c r="EB256" s="114">
        <v>21</v>
      </c>
      <c r="EC256" s="152"/>
      <c r="ED256" s="138">
        <v>286</v>
      </c>
      <c r="EE256" s="138">
        <v>10999</v>
      </c>
      <c r="EF256" s="138">
        <v>12443</v>
      </c>
      <c r="EG256" s="138">
        <v>13127</v>
      </c>
      <c r="EH256" s="138"/>
      <c r="EI256" s="138"/>
      <c r="EJ256" s="138"/>
      <c r="EK256" s="3">
        <v>-692</v>
      </c>
      <c r="EL256" s="138">
        <v>34</v>
      </c>
      <c r="EM256" s="138">
        <v>152</v>
      </c>
      <c r="EN256" s="3">
        <v>-648</v>
      </c>
      <c r="EO256" s="138"/>
      <c r="EP256" s="138">
        <v>186</v>
      </c>
      <c r="EQ256" s="3">
        <v>-558</v>
      </c>
      <c r="ES256" s="138">
        <v>257</v>
      </c>
      <c r="ET256" s="163"/>
      <c r="EU256" s="163"/>
      <c r="EV256" s="138"/>
      <c r="EW256" s="138">
        <v>700</v>
      </c>
      <c r="EX256" s="138">
        <v>1500</v>
      </c>
      <c r="EY256" s="138">
        <v>-100</v>
      </c>
      <c r="EZ256" s="138">
        <v>3138</v>
      </c>
      <c r="FA256" s="138">
        <v>2821</v>
      </c>
      <c r="FB256" s="138">
        <v>317</v>
      </c>
      <c r="FC256" s="138">
        <v>74</v>
      </c>
      <c r="FD256" s="138">
        <v>3521</v>
      </c>
      <c r="FE256" s="138">
        <v>2504</v>
      </c>
      <c r="FF256" s="138">
        <v>1017</v>
      </c>
      <c r="FG256" s="138">
        <v>74</v>
      </c>
      <c r="FH256" s="138">
        <v>4529</v>
      </c>
      <c r="FI256" s="138">
        <v>3462</v>
      </c>
      <c r="FJ256" s="138">
        <v>1067</v>
      </c>
      <c r="FK256" s="138">
        <v>74</v>
      </c>
      <c r="FL256" s="147">
        <v>2717</v>
      </c>
      <c r="FM256" s="147">
        <v>2907.1729957805906</v>
      </c>
      <c r="FO256" s="181">
        <f t="shared" si="12"/>
        <v>308.3809523809524</v>
      </c>
      <c r="FP256" s="179">
        <f t="shared" si="11"/>
        <v>110.37256706548045</v>
      </c>
      <c r="FR256" s="184"/>
      <c r="FV256" s="184">
        <v>317</v>
      </c>
      <c r="FW256" s="2">
        <f t="shared" si="13"/>
        <v>-317</v>
      </c>
    </row>
    <row r="257" spans="1:179" ht="12.75">
      <c r="A257" s="82">
        <v>777</v>
      </c>
      <c r="B257" s="80" t="s">
        <v>246</v>
      </c>
      <c r="C257" s="191">
        <v>8943</v>
      </c>
      <c r="D257" s="146"/>
      <c r="E257" s="150">
        <v>3.199509403107114</v>
      </c>
      <c r="F257" s="150">
        <v>20.5</v>
      </c>
      <c r="G257" s="151">
        <v>289</v>
      </c>
      <c r="H257" s="152"/>
      <c r="I257" s="152"/>
      <c r="J257" s="152"/>
      <c r="K257" s="150">
        <v>76.6</v>
      </c>
      <c r="L257" s="151">
        <v>1438</v>
      </c>
      <c r="M257" s="151">
        <v>68</v>
      </c>
      <c r="N257" s="154">
        <v>7187.29732751873</v>
      </c>
      <c r="O257" s="146">
        <v>15731</v>
      </c>
      <c r="P257" s="139">
        <v>11590</v>
      </c>
      <c r="Q257" s="139">
        <v>62288</v>
      </c>
      <c r="R257" s="139">
        <v>-50698</v>
      </c>
      <c r="S257" s="146">
        <v>25227</v>
      </c>
      <c r="T257" s="139">
        <v>29945</v>
      </c>
      <c r="U257" s="160"/>
      <c r="W257" s="138">
        <v>-88</v>
      </c>
      <c r="X257" s="138">
        <v>-571</v>
      </c>
      <c r="Y257" s="139">
        <v>3815</v>
      </c>
      <c r="Z257" s="138">
        <v>3416</v>
      </c>
      <c r="AA257" s="139"/>
      <c r="AC257" s="139">
        <v>399</v>
      </c>
      <c r="AF257" s="138">
        <v>2</v>
      </c>
      <c r="AG257" s="139">
        <v>401</v>
      </c>
      <c r="AH257" s="139">
        <v>11762</v>
      </c>
      <c r="AI257" s="139">
        <v>4431</v>
      </c>
      <c r="AJ257" s="176"/>
      <c r="AK257" s="138">
        <v>496</v>
      </c>
      <c r="AL257" s="151">
        <v>-1125</v>
      </c>
      <c r="AM257" s="151">
        <v>487</v>
      </c>
      <c r="AN257" s="146">
        <v>25227</v>
      </c>
      <c r="AO257" s="139">
        <v>20120</v>
      </c>
      <c r="AP257" s="139">
        <v>3139</v>
      </c>
      <c r="AQ257" s="139">
        <v>1968</v>
      </c>
      <c r="AR257" s="114">
        <v>19.5</v>
      </c>
      <c r="AS257" s="152"/>
      <c r="AT257" s="138">
        <v>67</v>
      </c>
      <c r="AU257" s="191">
        <v>8813</v>
      </c>
      <c r="AV257" s="146"/>
      <c r="AW257" s="150">
        <v>3.343137254901961</v>
      </c>
      <c r="AX257" s="150">
        <v>25.4</v>
      </c>
      <c r="AY257" s="151">
        <v>-87</v>
      </c>
      <c r="AZ257" s="152"/>
      <c r="BA257" s="152"/>
      <c r="BB257" s="152"/>
      <c r="BC257" s="150">
        <v>76.1</v>
      </c>
      <c r="BD257" s="151">
        <v>1471</v>
      </c>
      <c r="BE257" s="151">
        <v>67</v>
      </c>
      <c r="BF257" s="154">
        <v>8068.081243617384</v>
      </c>
      <c r="BG257" s="146">
        <v>15684</v>
      </c>
      <c r="BH257" s="139">
        <v>12611</v>
      </c>
      <c r="BI257" s="139">
        <v>63991</v>
      </c>
      <c r="BJ257" s="139">
        <v>-51380</v>
      </c>
      <c r="BK257" s="146">
        <v>24145</v>
      </c>
      <c r="BL257" s="146">
        <v>30820</v>
      </c>
      <c r="BM257" s="160"/>
      <c r="BO257" s="138">
        <v>-151</v>
      </c>
      <c r="BP257" s="138">
        <v>790</v>
      </c>
      <c r="BQ257" s="139">
        <v>4224</v>
      </c>
      <c r="BR257" s="138">
        <v>3876</v>
      </c>
      <c r="BS257" s="139"/>
      <c r="BU257" s="139">
        <v>348</v>
      </c>
      <c r="BX257" s="138">
        <v>10</v>
      </c>
      <c r="BY257" s="138">
        <v>358</v>
      </c>
      <c r="BZ257" s="139">
        <v>12120</v>
      </c>
      <c r="CA257" s="139">
        <v>1369</v>
      </c>
      <c r="CB257" s="176"/>
      <c r="CC257" s="138">
        <v>-12</v>
      </c>
      <c r="CD257" s="151">
        <v>-1117</v>
      </c>
      <c r="CE257" s="151">
        <v>-3168</v>
      </c>
      <c r="CF257" s="138">
        <v>24145</v>
      </c>
      <c r="CG257" s="139">
        <v>20273</v>
      </c>
      <c r="CH257" s="139">
        <v>1876</v>
      </c>
      <c r="CI257" s="139">
        <v>1996</v>
      </c>
      <c r="CJ257" s="114">
        <v>19.5</v>
      </c>
      <c r="CK257" s="152"/>
      <c r="CL257" s="138">
        <v>24</v>
      </c>
      <c r="CM257" s="190">
        <v>8661</v>
      </c>
      <c r="CN257" s="146"/>
      <c r="CO257" s="150">
        <v>3.3841767640769778</v>
      </c>
      <c r="CP257" s="150">
        <v>21.79653340549471</v>
      </c>
      <c r="CQ257" s="151">
        <v>-159.5658699919178</v>
      </c>
      <c r="CR257" s="152"/>
      <c r="CS257" s="152"/>
      <c r="CT257" s="152"/>
      <c r="CU257" s="150">
        <v>78.28327881851521</v>
      </c>
      <c r="CV257" s="151">
        <v>1122.618635261517</v>
      </c>
      <c r="CW257" s="151">
        <v>48.159137479475106</v>
      </c>
      <c r="CX257" s="154">
        <v>8508.370857868606</v>
      </c>
      <c r="CY257" s="146">
        <v>16467</v>
      </c>
      <c r="CZ257" s="139">
        <v>11246</v>
      </c>
      <c r="DA257" s="139">
        <v>66377</v>
      </c>
      <c r="DB257" s="139">
        <v>-55131</v>
      </c>
      <c r="DC257" s="146">
        <v>25945</v>
      </c>
      <c r="DD257" s="146">
        <v>33022</v>
      </c>
      <c r="DE257" s="160"/>
      <c r="DG257" s="138">
        <v>-123</v>
      </c>
      <c r="DH257" s="138">
        <v>888</v>
      </c>
      <c r="DI257" s="139">
        <v>4601</v>
      </c>
      <c r="DJ257" s="138">
        <v>4061</v>
      </c>
      <c r="DK257" s="139"/>
      <c r="DM257" s="139">
        <v>540</v>
      </c>
      <c r="DQ257" s="138">
        <v>540</v>
      </c>
      <c r="DR257" s="139">
        <v>12661</v>
      </c>
      <c r="DS257" s="139">
        <v>4323</v>
      </c>
      <c r="DT257" s="176"/>
      <c r="DU257" s="138">
        <v>-773</v>
      </c>
      <c r="DV257" s="151">
        <v>-1256</v>
      </c>
      <c r="DW257" s="138">
        <v>-544</v>
      </c>
      <c r="DX257" s="138">
        <v>25945</v>
      </c>
      <c r="DY257" s="146">
        <v>21357</v>
      </c>
      <c r="DZ257" s="196">
        <v>2300</v>
      </c>
      <c r="EA257" s="146">
        <v>2288</v>
      </c>
      <c r="EB257" s="114">
        <v>19.5</v>
      </c>
      <c r="EC257" s="152"/>
      <c r="ED257" s="138">
        <v>49</v>
      </c>
      <c r="EE257" s="138">
        <v>38810</v>
      </c>
      <c r="EF257" s="138">
        <v>41605</v>
      </c>
      <c r="EG257" s="138">
        <v>43301</v>
      </c>
      <c r="EH257" s="138"/>
      <c r="EI257" s="138"/>
      <c r="EJ257" s="138"/>
      <c r="EK257" s="3">
        <v>-4879</v>
      </c>
      <c r="EL257" s="138">
        <v>599</v>
      </c>
      <c r="EM257" s="138">
        <v>336</v>
      </c>
      <c r="EN257" s="3">
        <v>-5749</v>
      </c>
      <c r="EO257" s="138">
        <v>1058</v>
      </c>
      <c r="EP257" s="138">
        <v>154</v>
      </c>
      <c r="EQ257" s="3">
        <v>-5802</v>
      </c>
      <c r="ER257" s="138">
        <v>510</v>
      </c>
      <c r="ES257" s="138">
        <v>425</v>
      </c>
      <c r="ET257" s="163">
        <v>604</v>
      </c>
      <c r="EU257" s="163"/>
      <c r="EV257" s="138">
        <v>4000</v>
      </c>
      <c r="EW257" s="138"/>
      <c r="EX257" s="138">
        <v>1000</v>
      </c>
      <c r="EY257" s="138"/>
      <c r="EZ257" s="138">
        <v>8255</v>
      </c>
      <c r="FA257" s="138">
        <v>7137</v>
      </c>
      <c r="FB257" s="138">
        <v>1118</v>
      </c>
      <c r="FC257" s="138">
        <v>946</v>
      </c>
      <c r="FD257" s="138">
        <v>11137</v>
      </c>
      <c r="FE257" s="138">
        <v>9881</v>
      </c>
      <c r="FF257" s="138">
        <v>1256</v>
      </c>
      <c r="FG257" s="138">
        <v>883</v>
      </c>
      <c r="FH257" s="138">
        <v>10880</v>
      </c>
      <c r="FI257" s="138">
        <v>9670</v>
      </c>
      <c r="FJ257" s="138">
        <v>1210</v>
      </c>
      <c r="FK257" s="138">
        <v>883</v>
      </c>
      <c r="FL257" s="147">
        <v>2321</v>
      </c>
      <c r="FM257" s="147">
        <v>2338.4772495177576</v>
      </c>
      <c r="FO257" s="181">
        <f t="shared" si="12"/>
        <v>1095.2307692307693</v>
      </c>
      <c r="FP257" s="179">
        <f t="shared" si="11"/>
        <v>126.45546348352029</v>
      </c>
      <c r="FR257" s="184"/>
      <c r="FV257" s="184">
        <v>1125</v>
      </c>
      <c r="FW257" s="2">
        <f t="shared" si="13"/>
        <v>-1125</v>
      </c>
    </row>
    <row r="258" spans="1:179" ht="12.75">
      <c r="A258" s="82">
        <v>778</v>
      </c>
      <c r="B258" s="80" t="s">
        <v>247</v>
      </c>
      <c r="C258" s="191">
        <v>7577</v>
      </c>
      <c r="D258" s="146"/>
      <c r="E258" s="150">
        <v>0.35718911917098445</v>
      </c>
      <c r="F258" s="150">
        <v>59.1</v>
      </c>
      <c r="G258" s="151">
        <v>-3692</v>
      </c>
      <c r="H258" s="152"/>
      <c r="I258" s="152"/>
      <c r="J258" s="152"/>
      <c r="K258" s="150">
        <v>43.3</v>
      </c>
      <c r="L258" s="151">
        <v>49</v>
      </c>
      <c r="M258" s="151">
        <v>2</v>
      </c>
      <c r="N258" s="154">
        <v>6844.925432229114</v>
      </c>
      <c r="O258" s="146">
        <v>17021</v>
      </c>
      <c r="P258" s="139">
        <v>9825</v>
      </c>
      <c r="Q258" s="139">
        <v>50891</v>
      </c>
      <c r="R258" s="139">
        <v>-41066</v>
      </c>
      <c r="S258" s="146">
        <v>20103</v>
      </c>
      <c r="T258" s="139">
        <v>22249</v>
      </c>
      <c r="U258" s="160"/>
      <c r="W258" s="138">
        <v>-658</v>
      </c>
      <c r="X258" s="138">
        <v>462</v>
      </c>
      <c r="Y258" s="139">
        <v>1090</v>
      </c>
      <c r="Z258" s="138">
        <v>2334</v>
      </c>
      <c r="AC258" s="139">
        <v>-1244</v>
      </c>
      <c r="AD258" s="139"/>
      <c r="AG258" s="139">
        <v>-1244</v>
      </c>
      <c r="AH258" s="139">
        <v>-3410</v>
      </c>
      <c r="AI258" s="139">
        <v>1009</v>
      </c>
      <c r="AJ258" s="176"/>
      <c r="AK258" s="138">
        <v>-506</v>
      </c>
      <c r="AL258" s="151">
        <v>-3075</v>
      </c>
      <c r="AM258" s="151">
        <v>-3455</v>
      </c>
      <c r="AN258" s="146">
        <v>20103</v>
      </c>
      <c r="AO258" s="139">
        <v>17035</v>
      </c>
      <c r="AP258" s="139">
        <v>1757</v>
      </c>
      <c r="AQ258" s="139">
        <v>1311</v>
      </c>
      <c r="AR258" s="114">
        <v>19.5</v>
      </c>
      <c r="AS258" s="152"/>
      <c r="AT258" s="138">
        <v>237</v>
      </c>
      <c r="AU258" s="191">
        <v>7496</v>
      </c>
      <c r="AV258" s="146"/>
      <c r="AW258" s="150">
        <v>0.6836079307456018</v>
      </c>
      <c r="AX258" s="150">
        <v>60.7</v>
      </c>
      <c r="AY258" s="151">
        <v>-3869</v>
      </c>
      <c r="AZ258" s="152"/>
      <c r="BA258" s="152"/>
      <c r="BB258" s="152"/>
      <c r="BC258" s="150">
        <v>40.8</v>
      </c>
      <c r="BD258" s="151">
        <v>251</v>
      </c>
      <c r="BE258" s="151">
        <v>12</v>
      </c>
      <c r="BF258" s="154">
        <v>7854.322305229456</v>
      </c>
      <c r="BG258" s="146">
        <v>17701</v>
      </c>
      <c r="BH258" s="139">
        <v>9721</v>
      </c>
      <c r="BI258" s="139">
        <v>52511</v>
      </c>
      <c r="BJ258" s="139">
        <v>-42790</v>
      </c>
      <c r="BK258" s="146">
        <v>21286</v>
      </c>
      <c r="BL258" s="146">
        <v>23404</v>
      </c>
      <c r="BM258" s="160"/>
      <c r="BO258" s="138">
        <v>-689</v>
      </c>
      <c r="BP258" s="138">
        <v>538</v>
      </c>
      <c r="BQ258" s="139">
        <v>1749</v>
      </c>
      <c r="BR258" s="138">
        <v>2481</v>
      </c>
      <c r="BU258" s="139">
        <v>-732</v>
      </c>
      <c r="BV258" s="139"/>
      <c r="BY258" s="138">
        <v>-732</v>
      </c>
      <c r="BZ258" s="139">
        <v>-4142</v>
      </c>
      <c r="CA258" s="139">
        <v>1654</v>
      </c>
      <c r="CB258" s="176"/>
      <c r="CC258" s="138">
        <v>294</v>
      </c>
      <c r="CD258" s="151">
        <v>-2882</v>
      </c>
      <c r="CE258" s="151">
        <v>-1118</v>
      </c>
      <c r="CF258" s="138">
        <v>21286</v>
      </c>
      <c r="CG258" s="139">
        <v>18549</v>
      </c>
      <c r="CH258" s="139">
        <v>1301</v>
      </c>
      <c r="CI258" s="139">
        <v>1436</v>
      </c>
      <c r="CJ258" s="114">
        <v>20</v>
      </c>
      <c r="CK258" s="152"/>
      <c r="CL258" s="138">
        <v>93</v>
      </c>
      <c r="CM258" s="190">
        <v>7456</v>
      </c>
      <c r="CN258" s="146"/>
      <c r="CO258" s="150">
        <v>0.6072036301758367</v>
      </c>
      <c r="CP258" s="150">
        <v>68.22352573414486</v>
      </c>
      <c r="CQ258" s="151">
        <v>-4061.024678111588</v>
      </c>
      <c r="CR258" s="152"/>
      <c r="CS258" s="152"/>
      <c r="CT258" s="152"/>
      <c r="CU258" s="150">
        <v>37.009383855695646</v>
      </c>
      <c r="CV258" s="151">
        <v>616.2821888412017</v>
      </c>
      <c r="CW258" s="151">
        <v>28.172663441510448</v>
      </c>
      <c r="CX258" s="154">
        <v>7984.4420600858375</v>
      </c>
      <c r="CY258" s="146">
        <v>17748</v>
      </c>
      <c r="CZ258" s="139">
        <v>9282</v>
      </c>
      <c r="DA258" s="139">
        <v>53035</v>
      </c>
      <c r="DB258" s="139">
        <v>-43753</v>
      </c>
      <c r="DC258" s="146">
        <v>22245</v>
      </c>
      <c r="DD258" s="146">
        <v>22952</v>
      </c>
      <c r="DE258" s="160"/>
      <c r="DG258" s="138">
        <v>-638</v>
      </c>
      <c r="DH258" s="138">
        <v>695</v>
      </c>
      <c r="DI258" s="139">
        <v>1501</v>
      </c>
      <c r="DJ258" s="138">
        <v>2468</v>
      </c>
      <c r="DM258" s="139">
        <v>-967</v>
      </c>
      <c r="DN258" s="139"/>
      <c r="DQ258" s="138">
        <v>-967</v>
      </c>
      <c r="DR258" s="139">
        <v>-5109</v>
      </c>
      <c r="DS258" s="139">
        <v>1471</v>
      </c>
      <c r="DT258" s="176"/>
      <c r="DU258" s="138">
        <v>-136</v>
      </c>
      <c r="DV258" s="151">
        <v>-2886</v>
      </c>
      <c r="DW258" s="138">
        <v>-1345</v>
      </c>
      <c r="DX258" s="138">
        <v>22245</v>
      </c>
      <c r="DY258" s="146">
        <v>19137</v>
      </c>
      <c r="DZ258" s="196">
        <v>1613</v>
      </c>
      <c r="EA258" s="146">
        <v>1495</v>
      </c>
      <c r="EB258" s="114">
        <v>20.5</v>
      </c>
      <c r="EC258" s="152"/>
      <c r="ED258" s="138">
        <v>196</v>
      </c>
      <c r="EE258" s="138">
        <v>28482</v>
      </c>
      <c r="EF258" s="138">
        <v>29223</v>
      </c>
      <c r="EG258" s="138">
        <v>29617</v>
      </c>
      <c r="EH258" s="138"/>
      <c r="EI258" s="138"/>
      <c r="EJ258" s="138"/>
      <c r="EK258" s="3">
        <v>-5249</v>
      </c>
      <c r="EL258" s="138">
        <v>593</v>
      </c>
      <c r="EM258" s="138">
        <v>192</v>
      </c>
      <c r="EN258" s="3">
        <v>-2907</v>
      </c>
      <c r="EO258" s="138"/>
      <c r="EP258" s="138">
        <v>135</v>
      </c>
      <c r="EQ258" s="3">
        <v>-3062</v>
      </c>
      <c r="ER258" s="138">
        <v>206</v>
      </c>
      <c r="ES258" s="138">
        <v>40</v>
      </c>
      <c r="ET258" s="163">
        <v>5000</v>
      </c>
      <c r="EU258" s="163">
        <v>600</v>
      </c>
      <c r="EV258" s="138">
        <v>4600</v>
      </c>
      <c r="EW258" s="138">
        <v>900</v>
      </c>
      <c r="EX258" s="138">
        <v>8000</v>
      </c>
      <c r="EY258" s="138">
        <v>-1500</v>
      </c>
      <c r="EZ258" s="138">
        <v>25944</v>
      </c>
      <c r="FA258" s="138">
        <v>22462</v>
      </c>
      <c r="FB258" s="138">
        <v>3482</v>
      </c>
      <c r="FC258" s="138">
        <v>520</v>
      </c>
      <c r="FD258" s="138">
        <v>28562</v>
      </c>
      <c r="FE258" s="138">
        <v>24176</v>
      </c>
      <c r="FF258" s="138">
        <v>4386</v>
      </c>
      <c r="FG258" s="138">
        <v>442</v>
      </c>
      <c r="FH258" s="138">
        <v>32176</v>
      </c>
      <c r="FI258" s="138">
        <v>29452</v>
      </c>
      <c r="FJ258" s="138">
        <v>2724</v>
      </c>
      <c r="FK258" s="138">
        <v>358</v>
      </c>
      <c r="FL258" s="147">
        <v>5607</v>
      </c>
      <c r="FM258" s="147">
        <v>6154.749199573105</v>
      </c>
      <c r="FO258" s="181">
        <f t="shared" si="12"/>
        <v>933.5121951219512</v>
      </c>
      <c r="FP258" s="179">
        <f t="shared" si="11"/>
        <v>125.2028158693604</v>
      </c>
      <c r="FR258" s="184"/>
      <c r="FV258" s="184">
        <v>3075</v>
      </c>
      <c r="FW258" s="2">
        <f t="shared" si="13"/>
        <v>-3075</v>
      </c>
    </row>
    <row r="259" spans="1:179" ht="12.75">
      <c r="A259" s="82">
        <v>781</v>
      </c>
      <c r="B259" s="80" t="s">
        <v>248</v>
      </c>
      <c r="C259" s="191">
        <v>4261</v>
      </c>
      <c r="D259" s="146"/>
      <c r="E259" s="150">
        <v>4.366485013623978</v>
      </c>
      <c r="F259" s="150">
        <v>17.9</v>
      </c>
      <c r="G259" s="151">
        <v>644</v>
      </c>
      <c r="H259" s="152"/>
      <c r="I259" s="152"/>
      <c r="J259" s="152"/>
      <c r="K259" s="150">
        <v>71</v>
      </c>
      <c r="L259" s="151">
        <v>1589</v>
      </c>
      <c r="M259" s="151">
        <v>73</v>
      </c>
      <c r="N259" s="154">
        <v>8721.426895095048</v>
      </c>
      <c r="O259" s="146">
        <v>11760</v>
      </c>
      <c r="P259" s="139">
        <v>10476</v>
      </c>
      <c r="Q259" s="139">
        <v>31103</v>
      </c>
      <c r="R259" s="139">
        <v>-20627</v>
      </c>
      <c r="S259" s="146">
        <v>11317</v>
      </c>
      <c r="T259" s="139">
        <v>12262</v>
      </c>
      <c r="U259" s="160"/>
      <c r="W259" s="138">
        <v>23</v>
      </c>
      <c r="X259" s="138">
        <v>27</v>
      </c>
      <c r="Y259" s="139">
        <v>3002</v>
      </c>
      <c r="Z259" s="138">
        <v>2356</v>
      </c>
      <c r="AC259" s="139">
        <v>646</v>
      </c>
      <c r="AF259" s="139"/>
      <c r="AG259" s="139">
        <v>646</v>
      </c>
      <c r="AH259" s="139">
        <v>2815</v>
      </c>
      <c r="AI259" s="139">
        <v>2567</v>
      </c>
      <c r="AJ259" s="176"/>
      <c r="AK259" s="139">
        <v>400</v>
      </c>
      <c r="AL259" s="151">
        <v>-531</v>
      </c>
      <c r="AM259" s="151">
        <v>1494</v>
      </c>
      <c r="AN259" s="146">
        <v>11317</v>
      </c>
      <c r="AO259" s="139">
        <v>8368</v>
      </c>
      <c r="AP259" s="139">
        <v>1270</v>
      </c>
      <c r="AQ259" s="139">
        <v>1679</v>
      </c>
      <c r="AR259" s="114">
        <v>19</v>
      </c>
      <c r="AS259" s="152"/>
      <c r="AT259" s="138">
        <v>15</v>
      </c>
      <c r="AU259" s="191">
        <v>4178</v>
      </c>
      <c r="AV259" s="146"/>
      <c r="AW259" s="150">
        <v>5.192156862745098</v>
      </c>
      <c r="AX259" s="150">
        <v>16.9</v>
      </c>
      <c r="AY259" s="151">
        <v>1100</v>
      </c>
      <c r="AZ259" s="152"/>
      <c r="BA259" s="152"/>
      <c r="BB259" s="152"/>
      <c r="BC259" s="150">
        <v>74.1</v>
      </c>
      <c r="BD259" s="151">
        <v>2102</v>
      </c>
      <c r="BE259" s="151">
        <v>95</v>
      </c>
      <c r="BF259" s="154">
        <v>8083.772139779798</v>
      </c>
      <c r="BG259" s="146">
        <v>11737</v>
      </c>
      <c r="BH259" s="139">
        <v>10362</v>
      </c>
      <c r="BI259" s="139">
        <v>32367</v>
      </c>
      <c r="BJ259" s="139">
        <v>-22005</v>
      </c>
      <c r="BK259" s="146">
        <v>11349</v>
      </c>
      <c r="BL259" s="146">
        <v>13162</v>
      </c>
      <c r="BM259" s="160"/>
      <c r="BO259" s="138">
        <v>63</v>
      </c>
      <c r="BP259" s="138">
        <v>28</v>
      </c>
      <c r="BQ259" s="139">
        <v>2597</v>
      </c>
      <c r="BR259" s="138">
        <v>422</v>
      </c>
      <c r="BU259" s="139">
        <v>2175</v>
      </c>
      <c r="BW259" s="138">
        <v>-2000</v>
      </c>
      <c r="BX259" s="139"/>
      <c r="BY259" s="138">
        <v>175</v>
      </c>
      <c r="BZ259" s="139">
        <v>2990</v>
      </c>
      <c r="CA259" s="139">
        <v>2583</v>
      </c>
      <c r="CB259" s="176"/>
      <c r="CC259" s="139">
        <v>374</v>
      </c>
      <c r="CD259" s="151">
        <v>-459</v>
      </c>
      <c r="CE259" s="151">
        <v>1858</v>
      </c>
      <c r="CF259" s="138">
        <v>11349</v>
      </c>
      <c r="CG259" s="139">
        <v>8874</v>
      </c>
      <c r="CH259" s="139">
        <v>768</v>
      </c>
      <c r="CI259" s="139">
        <v>1707</v>
      </c>
      <c r="CJ259" s="114">
        <v>19</v>
      </c>
      <c r="CK259" s="152"/>
      <c r="CL259" s="138">
        <v>12</v>
      </c>
      <c r="CM259" s="190">
        <v>4139</v>
      </c>
      <c r="CN259" s="146"/>
      <c r="CO259" s="150">
        <v>7.444444444444445</v>
      </c>
      <c r="CP259" s="150">
        <v>15.22255441616139</v>
      </c>
      <c r="CQ259" s="151">
        <v>1250.7852138197632</v>
      </c>
      <c r="CR259" s="152"/>
      <c r="CS259" s="152"/>
      <c r="CT259" s="152"/>
      <c r="CU259" s="150">
        <v>77.88234425745497</v>
      </c>
      <c r="CV259" s="151">
        <v>1935.0084561488284</v>
      </c>
      <c r="CW259" s="151">
        <v>81.16628720568636</v>
      </c>
      <c r="CX259" s="154">
        <v>8701.618748489975</v>
      </c>
      <c r="CY259" s="146">
        <v>11523</v>
      </c>
      <c r="CZ259" s="139">
        <v>10376</v>
      </c>
      <c r="DA259" s="139">
        <v>32466</v>
      </c>
      <c r="DB259" s="139">
        <v>-22090</v>
      </c>
      <c r="DC259" s="146">
        <v>11676</v>
      </c>
      <c r="DD259" s="146">
        <v>13739</v>
      </c>
      <c r="DE259" s="160"/>
      <c r="DG259" s="138">
        <v>117</v>
      </c>
      <c r="DH259" s="138">
        <v>14</v>
      </c>
      <c r="DI259" s="139">
        <v>3456</v>
      </c>
      <c r="DJ259" s="138">
        <v>788</v>
      </c>
      <c r="DM259" s="139">
        <v>2668</v>
      </c>
      <c r="DO259" s="138">
        <v>-1470</v>
      </c>
      <c r="DP259" s="139"/>
      <c r="DQ259" s="138">
        <v>1198</v>
      </c>
      <c r="DR259" s="139">
        <v>4188</v>
      </c>
      <c r="DS259" s="139">
        <v>3409</v>
      </c>
      <c r="DT259" s="176"/>
      <c r="DU259" s="139">
        <v>-920</v>
      </c>
      <c r="DV259" s="151">
        <v>-440</v>
      </c>
      <c r="DW259" s="138">
        <v>549</v>
      </c>
      <c r="DX259" s="138">
        <v>11676</v>
      </c>
      <c r="DY259" s="146">
        <v>9015</v>
      </c>
      <c r="DZ259" s="196">
        <v>901</v>
      </c>
      <c r="EA259" s="146">
        <v>1760</v>
      </c>
      <c r="EB259" s="114">
        <v>19</v>
      </c>
      <c r="EC259" s="152"/>
      <c r="ED259" s="138">
        <v>6</v>
      </c>
      <c r="EE259" s="138">
        <v>16914</v>
      </c>
      <c r="EF259" s="138">
        <v>18123</v>
      </c>
      <c r="EG259" s="138">
        <v>18331</v>
      </c>
      <c r="EH259" s="138"/>
      <c r="EI259" s="138"/>
      <c r="EJ259" s="138"/>
      <c r="EK259" s="3">
        <v>-2147</v>
      </c>
      <c r="EL259" s="138">
        <v>426</v>
      </c>
      <c r="EM259" s="138">
        <v>648</v>
      </c>
      <c r="EN259" s="3">
        <v>-960</v>
      </c>
      <c r="EO259" s="138">
        <v>99</v>
      </c>
      <c r="EP259" s="138">
        <v>136</v>
      </c>
      <c r="EQ259" s="3">
        <v>-3077</v>
      </c>
      <c r="ER259" s="138">
        <v>147</v>
      </c>
      <c r="ES259" s="138">
        <v>70</v>
      </c>
      <c r="ET259" s="163"/>
      <c r="EU259" s="163"/>
      <c r="EV259" s="138"/>
      <c r="EW259" s="138"/>
      <c r="EX259" s="138"/>
      <c r="EY259" s="138"/>
      <c r="EZ259" s="138">
        <v>2059</v>
      </c>
      <c r="FA259" s="138">
        <v>1600</v>
      </c>
      <c r="FB259" s="138">
        <v>459</v>
      </c>
      <c r="FC259" s="138">
        <v>9</v>
      </c>
      <c r="FD259" s="138">
        <v>1600</v>
      </c>
      <c r="FE259" s="138">
        <v>1160</v>
      </c>
      <c r="FF259" s="138">
        <v>440</v>
      </c>
      <c r="FG259" s="138">
        <v>9</v>
      </c>
      <c r="FH259" s="138">
        <v>1160</v>
      </c>
      <c r="FI259" s="138">
        <v>813</v>
      </c>
      <c r="FJ259" s="138">
        <v>347</v>
      </c>
      <c r="FK259" s="138">
        <v>7</v>
      </c>
      <c r="FL259" s="147">
        <v>1632</v>
      </c>
      <c r="FM259" s="147">
        <v>1471.2781235040688</v>
      </c>
      <c r="FO259" s="181">
        <f t="shared" si="12"/>
        <v>474.4736842105263</v>
      </c>
      <c r="FP259" s="179">
        <f aca="true" t="shared" si="14" ref="FP259:FP307">(FO259/CM259)*1000</f>
        <v>114.6348596787935</v>
      </c>
      <c r="FR259" s="184"/>
      <c r="FV259" s="184">
        <v>531</v>
      </c>
      <c r="FW259" s="2">
        <f t="shared" si="13"/>
        <v>-531</v>
      </c>
    </row>
    <row r="260" spans="1:179" ht="12.75">
      <c r="A260" s="82">
        <v>783</v>
      </c>
      <c r="B260" s="80" t="s">
        <v>249</v>
      </c>
      <c r="C260" s="191">
        <v>4673</v>
      </c>
      <c r="D260" s="146"/>
      <c r="E260" s="150">
        <v>2.8504122497055357</v>
      </c>
      <c r="F260" s="150">
        <v>38.4</v>
      </c>
      <c r="G260" s="151">
        <v>-1075</v>
      </c>
      <c r="H260" s="152"/>
      <c r="I260" s="152"/>
      <c r="J260" s="152"/>
      <c r="K260" s="150">
        <v>58.1</v>
      </c>
      <c r="L260" s="151">
        <v>27</v>
      </c>
      <c r="M260" s="151">
        <v>1</v>
      </c>
      <c r="N260" s="154">
        <v>7486.19730365932</v>
      </c>
      <c r="O260" s="146">
        <v>9500</v>
      </c>
      <c r="P260" s="139">
        <v>5000</v>
      </c>
      <c r="Q260" s="139">
        <v>26514</v>
      </c>
      <c r="R260" s="139">
        <v>-21514</v>
      </c>
      <c r="S260" s="146">
        <v>17245</v>
      </c>
      <c r="T260" s="139">
        <v>5992</v>
      </c>
      <c r="U260" s="160"/>
      <c r="W260" s="138">
        <v>-104</v>
      </c>
      <c r="X260" s="138">
        <v>122</v>
      </c>
      <c r="Y260" s="139">
        <v>1741</v>
      </c>
      <c r="Z260" s="138">
        <v>1116</v>
      </c>
      <c r="AC260" s="139">
        <v>625</v>
      </c>
      <c r="AD260" s="138">
        <v>12</v>
      </c>
      <c r="AG260" s="139">
        <v>637</v>
      </c>
      <c r="AH260" s="139">
        <v>-1256</v>
      </c>
      <c r="AI260" s="139">
        <v>1399</v>
      </c>
      <c r="AJ260" s="176"/>
      <c r="AK260" s="139">
        <v>-1099</v>
      </c>
      <c r="AL260" s="151">
        <v>-170</v>
      </c>
      <c r="AM260" s="151">
        <v>-1832</v>
      </c>
      <c r="AN260" s="146">
        <v>17245</v>
      </c>
      <c r="AO260" s="139">
        <v>14583</v>
      </c>
      <c r="AP260" s="139">
        <v>1689</v>
      </c>
      <c r="AQ260" s="139">
        <v>973</v>
      </c>
      <c r="AR260" s="114">
        <v>20</v>
      </c>
      <c r="AS260" s="152"/>
      <c r="AT260" s="138">
        <v>84</v>
      </c>
      <c r="AU260" s="191">
        <v>4631</v>
      </c>
      <c r="AV260" s="146"/>
      <c r="AW260" s="150">
        <v>1.0376447876447876</v>
      </c>
      <c r="AX260" s="150">
        <v>33.4</v>
      </c>
      <c r="AY260" s="151">
        <v>-1099</v>
      </c>
      <c r="AZ260" s="152"/>
      <c r="BA260" s="152"/>
      <c r="BB260" s="152"/>
      <c r="BC260" s="150">
        <v>61</v>
      </c>
      <c r="BD260" s="151">
        <v>177</v>
      </c>
      <c r="BE260" s="151">
        <v>10</v>
      </c>
      <c r="BF260" s="154">
        <v>6471.820341179011</v>
      </c>
      <c r="BG260" s="146">
        <v>9789</v>
      </c>
      <c r="BH260" s="139">
        <v>5194</v>
      </c>
      <c r="BI260" s="139">
        <v>27496</v>
      </c>
      <c r="BJ260" s="139">
        <v>-22302</v>
      </c>
      <c r="BK260" s="146">
        <v>16953</v>
      </c>
      <c r="BL260" s="146">
        <v>6341</v>
      </c>
      <c r="BM260" s="160"/>
      <c r="BO260" s="138">
        <v>-138</v>
      </c>
      <c r="BP260" s="138">
        <v>81</v>
      </c>
      <c r="BQ260" s="139">
        <v>935</v>
      </c>
      <c r="BR260" s="138">
        <v>1099</v>
      </c>
      <c r="BU260" s="139">
        <v>-164</v>
      </c>
      <c r="BV260" s="138">
        <v>9</v>
      </c>
      <c r="BY260" s="138">
        <v>-155</v>
      </c>
      <c r="BZ260" s="139">
        <v>-1411</v>
      </c>
      <c r="CA260" s="139">
        <v>508</v>
      </c>
      <c r="CB260" s="176"/>
      <c r="CC260" s="139">
        <v>2080</v>
      </c>
      <c r="CD260" s="151">
        <v>-896</v>
      </c>
      <c r="CE260" s="151">
        <v>-82</v>
      </c>
      <c r="CF260" s="138">
        <v>16953</v>
      </c>
      <c r="CG260" s="139">
        <v>14768</v>
      </c>
      <c r="CH260" s="139">
        <v>1178</v>
      </c>
      <c r="CI260" s="139">
        <v>1007</v>
      </c>
      <c r="CJ260" s="114">
        <v>20</v>
      </c>
      <c r="CK260" s="152"/>
      <c r="CL260" s="138">
        <v>114</v>
      </c>
      <c r="CM260" s="190">
        <v>4567</v>
      </c>
      <c r="CN260" s="146"/>
      <c r="CO260" s="150">
        <v>2.6551724137931036</v>
      </c>
      <c r="CP260" s="150">
        <v>34.688841564411995</v>
      </c>
      <c r="CQ260" s="151">
        <v>-1435.0777315524415</v>
      </c>
      <c r="CR260" s="152"/>
      <c r="CS260" s="152"/>
      <c r="CT260" s="152"/>
      <c r="CU260" s="150">
        <v>58.3488466208013</v>
      </c>
      <c r="CV260" s="151">
        <v>62.40420407269542</v>
      </c>
      <c r="CW260" s="151">
        <v>3.2523057683289043</v>
      </c>
      <c r="CX260" s="154">
        <v>7003.5033939128525</v>
      </c>
      <c r="CY260" s="146">
        <v>10390</v>
      </c>
      <c r="CZ260" s="139">
        <v>5049</v>
      </c>
      <c r="DA260" s="139">
        <v>28751</v>
      </c>
      <c r="DB260" s="139">
        <v>-23702</v>
      </c>
      <c r="DC260" s="146">
        <v>17690</v>
      </c>
      <c r="DD260" s="146">
        <v>6844</v>
      </c>
      <c r="DE260" s="160"/>
      <c r="DG260" s="138">
        <v>-28</v>
      </c>
      <c r="DH260" s="138">
        <v>65</v>
      </c>
      <c r="DI260" s="139">
        <v>869</v>
      </c>
      <c r="DJ260" s="138">
        <v>1360</v>
      </c>
      <c r="DM260" s="139">
        <v>-491</v>
      </c>
      <c r="DN260" s="138">
        <v>7</v>
      </c>
      <c r="DQ260" s="138">
        <v>-484</v>
      </c>
      <c r="DR260" s="139">
        <v>-1895</v>
      </c>
      <c r="DS260" s="139">
        <v>819</v>
      </c>
      <c r="DT260" s="176"/>
      <c r="DU260" s="139">
        <v>196</v>
      </c>
      <c r="DV260" s="151">
        <v>-293</v>
      </c>
      <c r="DW260" s="138">
        <v>-1683</v>
      </c>
      <c r="DX260" s="138">
        <v>17690</v>
      </c>
      <c r="DY260" s="146">
        <v>15152</v>
      </c>
      <c r="DZ260" s="196">
        <v>1499</v>
      </c>
      <c r="EA260" s="146">
        <v>1039</v>
      </c>
      <c r="EB260" s="114">
        <v>20</v>
      </c>
      <c r="EC260" s="152"/>
      <c r="ED260" s="138">
        <v>207</v>
      </c>
      <c r="EE260" s="138">
        <v>14418</v>
      </c>
      <c r="EF260" s="138">
        <v>14905</v>
      </c>
      <c r="EG260" s="138">
        <v>15435</v>
      </c>
      <c r="EH260" s="138"/>
      <c r="EI260" s="138"/>
      <c r="EJ260" s="138"/>
      <c r="EK260" s="3">
        <v>-4657</v>
      </c>
      <c r="EL260" s="138">
        <v>875</v>
      </c>
      <c r="EM260" s="138">
        <v>551</v>
      </c>
      <c r="EN260" s="3">
        <v>-1437</v>
      </c>
      <c r="EO260" s="138">
        <v>30</v>
      </c>
      <c r="EP260" s="138">
        <v>817</v>
      </c>
      <c r="EQ260" s="3">
        <v>-2881</v>
      </c>
      <c r="ER260" s="138">
        <v>292</v>
      </c>
      <c r="ES260" s="138">
        <v>87</v>
      </c>
      <c r="ET260" s="163">
        <v>3500</v>
      </c>
      <c r="EU260" s="163">
        <v>-300</v>
      </c>
      <c r="EV260" s="138"/>
      <c r="EW260" s="138"/>
      <c r="EX260" s="138"/>
      <c r="EY260" s="138">
        <v>900</v>
      </c>
      <c r="EZ260" s="138">
        <v>6250</v>
      </c>
      <c r="FA260" s="138">
        <v>6054</v>
      </c>
      <c r="FB260" s="138">
        <v>196</v>
      </c>
      <c r="FC260" s="138">
        <v>158</v>
      </c>
      <c r="FD260" s="138">
        <v>5354</v>
      </c>
      <c r="FE260" s="138">
        <v>5061</v>
      </c>
      <c r="FF260" s="138">
        <v>293</v>
      </c>
      <c r="FG260" s="138">
        <v>142</v>
      </c>
      <c r="FH260" s="138">
        <v>5961</v>
      </c>
      <c r="FI260" s="138">
        <v>4768</v>
      </c>
      <c r="FJ260" s="138">
        <v>1193</v>
      </c>
      <c r="FK260" s="138">
        <v>142</v>
      </c>
      <c r="FL260" s="147">
        <v>4212</v>
      </c>
      <c r="FM260" s="147">
        <v>4109.479594040164</v>
      </c>
      <c r="FO260" s="181">
        <f t="shared" si="12"/>
        <v>757.6</v>
      </c>
      <c r="FP260" s="179">
        <f t="shared" si="14"/>
        <v>165.88570177359318</v>
      </c>
      <c r="FR260" s="184"/>
      <c r="FV260" s="184">
        <v>170</v>
      </c>
      <c r="FW260" s="2">
        <f t="shared" si="13"/>
        <v>-170</v>
      </c>
    </row>
    <row r="261" spans="1:179" ht="12.75">
      <c r="A261" s="82">
        <v>831</v>
      </c>
      <c r="B261" s="80" t="s">
        <v>251</v>
      </c>
      <c r="C261" s="191">
        <v>4855</v>
      </c>
      <c r="D261" s="146"/>
      <c r="E261" s="150">
        <v>2.6682242990654204</v>
      </c>
      <c r="F261" s="150">
        <v>33.6</v>
      </c>
      <c r="G261" s="151">
        <v>-1211</v>
      </c>
      <c r="H261" s="152"/>
      <c r="I261" s="152"/>
      <c r="J261" s="152"/>
      <c r="K261" s="150">
        <v>59.1</v>
      </c>
      <c r="L261" s="151">
        <v>351</v>
      </c>
      <c r="M261" s="151">
        <v>25</v>
      </c>
      <c r="N261" s="154">
        <v>5533.058702368691</v>
      </c>
      <c r="O261" s="146">
        <v>7191</v>
      </c>
      <c r="P261" s="139">
        <v>2703</v>
      </c>
      <c r="Q261" s="139">
        <v>23485</v>
      </c>
      <c r="R261" s="139">
        <v>-20782</v>
      </c>
      <c r="S261" s="146">
        <v>16259</v>
      </c>
      <c r="T261" s="139">
        <v>6330</v>
      </c>
      <c r="U261" s="160"/>
      <c r="W261" s="138">
        <v>-115</v>
      </c>
      <c r="X261" s="138">
        <v>-2</v>
      </c>
      <c r="Y261" s="139">
        <v>1690</v>
      </c>
      <c r="Z261" s="138">
        <v>667</v>
      </c>
      <c r="AC261" s="139">
        <v>1023</v>
      </c>
      <c r="AD261" s="138">
        <v>78</v>
      </c>
      <c r="AG261" s="139">
        <v>1101</v>
      </c>
      <c r="AH261" s="139">
        <v>2682</v>
      </c>
      <c r="AI261" s="139">
        <v>1692</v>
      </c>
      <c r="AJ261" s="176"/>
      <c r="AK261" s="139">
        <v>213</v>
      </c>
      <c r="AL261" s="151">
        <v>-619</v>
      </c>
      <c r="AM261" s="151">
        <v>783</v>
      </c>
      <c r="AN261" s="146">
        <v>16259</v>
      </c>
      <c r="AO261" s="139">
        <v>14501</v>
      </c>
      <c r="AP261" s="139">
        <v>664</v>
      </c>
      <c r="AQ261" s="139">
        <v>1094</v>
      </c>
      <c r="AR261" s="114">
        <v>19.75</v>
      </c>
      <c r="AS261" s="152"/>
      <c r="AT261" s="138">
        <v>99</v>
      </c>
      <c r="AU261" s="191">
        <v>4840</v>
      </c>
      <c r="AV261" s="146"/>
      <c r="AW261" s="150">
        <v>3.346314325452017</v>
      </c>
      <c r="AX261" s="150">
        <v>30.2</v>
      </c>
      <c r="AY261" s="151">
        <v>-1056</v>
      </c>
      <c r="AZ261" s="152"/>
      <c r="BA261" s="152"/>
      <c r="BB261" s="152"/>
      <c r="BC261" s="150">
        <v>61.9</v>
      </c>
      <c r="BD261" s="151">
        <v>418</v>
      </c>
      <c r="BE261" s="151">
        <v>27</v>
      </c>
      <c r="BF261" s="154">
        <v>5595.661157024794</v>
      </c>
      <c r="BG261" s="146">
        <v>7584</v>
      </c>
      <c r="BH261" s="139">
        <v>3507</v>
      </c>
      <c r="BI261" s="139">
        <v>24490</v>
      </c>
      <c r="BJ261" s="139">
        <v>-20983</v>
      </c>
      <c r="BK261" s="146">
        <v>16659</v>
      </c>
      <c r="BL261" s="146">
        <v>6697</v>
      </c>
      <c r="BM261" s="160"/>
      <c r="BO261" s="138">
        <v>-72</v>
      </c>
      <c r="BP261" s="138">
        <v>0</v>
      </c>
      <c r="BQ261" s="139">
        <v>2301</v>
      </c>
      <c r="BR261" s="138">
        <v>1647</v>
      </c>
      <c r="BS261" s="138">
        <v>245</v>
      </c>
      <c r="BU261" s="139">
        <v>899</v>
      </c>
      <c r="BV261" s="138">
        <v>78</v>
      </c>
      <c r="BY261" s="138">
        <v>977</v>
      </c>
      <c r="BZ261" s="139">
        <v>3640</v>
      </c>
      <c r="CA261" s="139">
        <v>2183</v>
      </c>
      <c r="CB261" s="176"/>
      <c r="CC261" s="139">
        <v>-97</v>
      </c>
      <c r="CD261" s="151">
        <v>-614</v>
      </c>
      <c r="CE261" s="151">
        <v>720</v>
      </c>
      <c r="CF261" s="138">
        <v>16659</v>
      </c>
      <c r="CG261" s="139">
        <v>15108</v>
      </c>
      <c r="CH261" s="139">
        <v>431</v>
      </c>
      <c r="CI261" s="139">
        <v>1120</v>
      </c>
      <c r="CJ261" s="114">
        <v>19.75</v>
      </c>
      <c r="CK261" s="152"/>
      <c r="CL261" s="138">
        <v>25</v>
      </c>
      <c r="CM261" s="190">
        <v>4826</v>
      </c>
      <c r="CN261" s="146"/>
      <c r="CO261" s="150">
        <v>4.269578313253012</v>
      </c>
      <c r="CP261" s="150">
        <v>26.353015694278273</v>
      </c>
      <c r="CQ261" s="151">
        <v>-697.8864484044758</v>
      </c>
      <c r="CR261" s="152"/>
      <c r="CS261" s="152"/>
      <c r="CT261" s="152"/>
      <c r="CU261" s="150">
        <v>65.88403338838549</v>
      </c>
      <c r="CV261" s="151">
        <v>688.5619560712805</v>
      </c>
      <c r="CW261" s="151">
        <v>43.72683683034105</v>
      </c>
      <c r="CX261" s="154">
        <v>5747.617074181517</v>
      </c>
      <c r="CY261" s="146">
        <v>7667</v>
      </c>
      <c r="CZ261" s="139">
        <v>4105</v>
      </c>
      <c r="DA261" s="139">
        <v>25641</v>
      </c>
      <c r="DB261" s="139">
        <v>-21536</v>
      </c>
      <c r="DC261" s="146">
        <v>17764</v>
      </c>
      <c r="DD261" s="146">
        <v>6556</v>
      </c>
      <c r="DE261" s="160"/>
      <c r="DG261" s="138">
        <v>-19</v>
      </c>
      <c r="DH261" s="138">
        <v>21</v>
      </c>
      <c r="DI261" s="139">
        <v>2786</v>
      </c>
      <c r="DJ261" s="138">
        <v>1722</v>
      </c>
      <c r="DK261" s="138">
        <v>236</v>
      </c>
      <c r="DM261" s="139">
        <v>1300</v>
      </c>
      <c r="DN261" s="138">
        <v>93</v>
      </c>
      <c r="DQ261" s="138">
        <v>1393</v>
      </c>
      <c r="DR261" s="139">
        <v>5033</v>
      </c>
      <c r="DS261" s="139">
        <v>2154</v>
      </c>
      <c r="DT261" s="176"/>
      <c r="DU261" s="139">
        <v>181</v>
      </c>
      <c r="DV261" s="151">
        <v>-615</v>
      </c>
      <c r="DW261" s="138">
        <v>1657</v>
      </c>
      <c r="DX261" s="138">
        <v>17764</v>
      </c>
      <c r="DY261" s="146">
        <v>16029</v>
      </c>
      <c r="DZ261" s="196">
        <v>555</v>
      </c>
      <c r="EA261" s="146">
        <v>1180</v>
      </c>
      <c r="EB261" s="114">
        <v>19.75</v>
      </c>
      <c r="EC261" s="152"/>
      <c r="ED261" s="138">
        <v>37</v>
      </c>
      <c r="EE261" s="138">
        <v>13891</v>
      </c>
      <c r="EF261" s="138">
        <v>14314</v>
      </c>
      <c r="EG261" s="138">
        <v>15288</v>
      </c>
      <c r="EH261" s="138"/>
      <c r="EI261" s="138"/>
      <c r="EJ261" s="138"/>
      <c r="EK261" s="3">
        <v>-1064</v>
      </c>
      <c r="EL261" s="138"/>
      <c r="EM261" s="138">
        <v>155</v>
      </c>
      <c r="EN261" s="3">
        <v>-1905</v>
      </c>
      <c r="EO261" s="138"/>
      <c r="EP261" s="138">
        <v>442</v>
      </c>
      <c r="EQ261" s="3">
        <v>-1434</v>
      </c>
      <c r="ES261" s="138">
        <v>937</v>
      </c>
      <c r="ET261" s="163"/>
      <c r="EU261" s="163"/>
      <c r="EV261" s="138"/>
      <c r="EW261" s="138"/>
      <c r="EX261" s="138"/>
      <c r="EY261" s="138"/>
      <c r="EZ261" s="138">
        <v>6533</v>
      </c>
      <c r="FA261" s="138">
        <v>5918</v>
      </c>
      <c r="FB261" s="138">
        <v>615</v>
      </c>
      <c r="FC261" s="138">
        <v>466</v>
      </c>
      <c r="FD261" s="138">
        <v>5918</v>
      </c>
      <c r="FE261" s="138">
        <v>5303</v>
      </c>
      <c r="FF261" s="138">
        <v>615</v>
      </c>
      <c r="FG261" s="138">
        <v>466</v>
      </c>
      <c r="FH261" s="138">
        <v>5304</v>
      </c>
      <c r="FI261" s="138">
        <v>4689</v>
      </c>
      <c r="FJ261" s="138">
        <v>615</v>
      </c>
      <c r="FK261" s="138">
        <v>422</v>
      </c>
      <c r="FL261" s="147">
        <v>2171</v>
      </c>
      <c r="FM261" s="147">
        <v>2052.685950413223</v>
      </c>
      <c r="FO261" s="181">
        <f t="shared" si="12"/>
        <v>811.5949367088608</v>
      </c>
      <c r="FP261" s="179">
        <f t="shared" si="14"/>
        <v>168.17135033337357</v>
      </c>
      <c r="FR261" s="184"/>
      <c r="FV261" s="184">
        <v>619</v>
      </c>
      <c r="FW261" s="2">
        <f t="shared" si="13"/>
        <v>-619</v>
      </c>
    </row>
    <row r="262" spans="1:179" ht="12.75">
      <c r="A262" s="82">
        <v>832</v>
      </c>
      <c r="B262" s="80" t="s">
        <v>252</v>
      </c>
      <c r="C262" s="191">
        <v>4422</v>
      </c>
      <c r="D262" s="146"/>
      <c r="E262" s="150">
        <v>2.484173505275498</v>
      </c>
      <c r="F262" s="150">
        <v>15.2</v>
      </c>
      <c r="G262" s="151">
        <v>-386</v>
      </c>
      <c r="H262" s="152"/>
      <c r="I262" s="152"/>
      <c r="J262" s="152"/>
      <c r="K262" s="150">
        <v>78.6</v>
      </c>
      <c r="L262" s="151">
        <v>524</v>
      </c>
      <c r="M262" s="151">
        <v>24</v>
      </c>
      <c r="N262" s="154">
        <v>7637.494346449571</v>
      </c>
      <c r="O262" s="146">
        <v>15569</v>
      </c>
      <c r="P262" s="139">
        <v>5900</v>
      </c>
      <c r="Q262" s="139">
        <v>31903</v>
      </c>
      <c r="R262" s="139">
        <v>-26003</v>
      </c>
      <c r="S262" s="146">
        <v>10770</v>
      </c>
      <c r="T262" s="139">
        <v>17219</v>
      </c>
      <c r="U262" s="160"/>
      <c r="W262" s="138">
        <v>22</v>
      </c>
      <c r="X262" s="138">
        <v>30</v>
      </c>
      <c r="Y262" s="139">
        <v>2038</v>
      </c>
      <c r="Z262" s="138">
        <v>1542</v>
      </c>
      <c r="AA262" s="139"/>
      <c r="AB262" s="139"/>
      <c r="AC262" s="139">
        <v>496</v>
      </c>
      <c r="AD262" s="139">
        <v>13</v>
      </c>
      <c r="AG262" s="139">
        <v>509</v>
      </c>
      <c r="AH262" s="139">
        <v>6885</v>
      </c>
      <c r="AI262" s="139">
        <v>1825</v>
      </c>
      <c r="AJ262" s="176"/>
      <c r="AK262" s="138">
        <v>-4</v>
      </c>
      <c r="AL262" s="151">
        <v>-772</v>
      </c>
      <c r="AM262" s="151">
        <v>-527</v>
      </c>
      <c r="AN262" s="146">
        <v>10770</v>
      </c>
      <c r="AO262" s="139">
        <v>8921</v>
      </c>
      <c r="AP262" s="139">
        <v>1171</v>
      </c>
      <c r="AQ262" s="139">
        <v>678</v>
      </c>
      <c r="AR262" s="114">
        <v>19.75</v>
      </c>
      <c r="AS262" s="152"/>
      <c r="AT262" s="138">
        <v>50</v>
      </c>
      <c r="AU262" s="191">
        <v>4313</v>
      </c>
      <c r="AV262" s="146"/>
      <c r="AW262" s="150">
        <v>3.213660245183888</v>
      </c>
      <c r="AX262" s="150">
        <v>19.1</v>
      </c>
      <c r="AY262" s="151">
        <v>-743</v>
      </c>
      <c r="AZ262" s="152"/>
      <c r="BA262" s="152"/>
      <c r="BB262" s="152"/>
      <c r="BC262" s="150">
        <v>74.8</v>
      </c>
      <c r="BD262" s="151">
        <v>380</v>
      </c>
      <c r="BE262" s="151">
        <v>16</v>
      </c>
      <c r="BF262" s="154">
        <v>8572.455367493625</v>
      </c>
      <c r="BG262" s="146">
        <v>16163</v>
      </c>
      <c r="BH262" s="139">
        <v>6162</v>
      </c>
      <c r="BI262" s="139">
        <v>32471</v>
      </c>
      <c r="BJ262" s="139">
        <v>-26309</v>
      </c>
      <c r="BK262" s="146">
        <v>10566</v>
      </c>
      <c r="BL262" s="146">
        <v>17534</v>
      </c>
      <c r="BM262" s="160"/>
      <c r="BO262" s="138">
        <v>16</v>
      </c>
      <c r="BP262" s="138">
        <v>14</v>
      </c>
      <c r="BQ262" s="139">
        <v>1821</v>
      </c>
      <c r="BR262" s="138">
        <v>1604</v>
      </c>
      <c r="BS262" s="139"/>
      <c r="BT262" s="139"/>
      <c r="BU262" s="139">
        <v>217</v>
      </c>
      <c r="BV262" s="139">
        <v>13</v>
      </c>
      <c r="BY262" s="138">
        <v>230</v>
      </c>
      <c r="BZ262" s="139">
        <v>7115</v>
      </c>
      <c r="CA262" s="139">
        <v>1802</v>
      </c>
      <c r="CB262" s="176"/>
      <c r="CC262" s="138">
        <v>-563</v>
      </c>
      <c r="CD262" s="151">
        <v>-557</v>
      </c>
      <c r="CE262" s="151">
        <v>-1474</v>
      </c>
      <c r="CF262" s="138">
        <v>10566</v>
      </c>
      <c r="CG262" s="139">
        <v>9113</v>
      </c>
      <c r="CH262" s="139">
        <v>750</v>
      </c>
      <c r="CI262" s="139">
        <v>703</v>
      </c>
      <c r="CJ262" s="114">
        <v>19.75</v>
      </c>
      <c r="CK262" s="152"/>
      <c r="CL262" s="138">
        <v>34</v>
      </c>
      <c r="CM262" s="190">
        <v>4251</v>
      </c>
      <c r="CN262" s="146"/>
      <c r="CO262" s="150">
        <v>4.868020304568528</v>
      </c>
      <c r="CP262" s="150">
        <v>21.713520002233327</v>
      </c>
      <c r="CQ262" s="151">
        <v>-567.3959068454482</v>
      </c>
      <c r="CR262" s="152"/>
      <c r="CS262" s="152"/>
      <c r="CT262" s="152"/>
      <c r="CU262" s="150">
        <v>67.18845917740946</v>
      </c>
      <c r="CV262" s="151">
        <v>963.5379910609269</v>
      </c>
      <c r="CW262" s="151">
        <v>41.20270084056772</v>
      </c>
      <c r="CX262" s="154">
        <v>8535.638673253352</v>
      </c>
      <c r="CY262" s="146">
        <v>16267</v>
      </c>
      <c r="CZ262" s="139">
        <v>6041</v>
      </c>
      <c r="DA262" s="139">
        <v>32960</v>
      </c>
      <c r="DB262" s="139">
        <v>-26919</v>
      </c>
      <c r="DC262" s="146">
        <v>11429</v>
      </c>
      <c r="DD262" s="146">
        <v>18351</v>
      </c>
      <c r="DE262" s="160"/>
      <c r="DG262" s="138">
        <v>-15</v>
      </c>
      <c r="DH262" s="138">
        <v>12</v>
      </c>
      <c r="DI262" s="139">
        <v>2858</v>
      </c>
      <c r="DJ262" s="138">
        <v>1686</v>
      </c>
      <c r="DK262" s="139"/>
      <c r="DL262" s="139"/>
      <c r="DM262" s="139">
        <v>1172</v>
      </c>
      <c r="DN262" s="139">
        <v>12</v>
      </c>
      <c r="DQ262" s="138">
        <v>1184</v>
      </c>
      <c r="DR262" s="139">
        <v>7027</v>
      </c>
      <c r="DS262" s="139">
        <v>4521</v>
      </c>
      <c r="DT262" s="176"/>
      <c r="DU262" s="138">
        <v>431</v>
      </c>
      <c r="DV262" s="151">
        <v>-572</v>
      </c>
      <c r="DW262" s="138">
        <v>2010</v>
      </c>
      <c r="DX262" s="138">
        <v>11429</v>
      </c>
      <c r="DY262" s="146">
        <v>9891</v>
      </c>
      <c r="DZ262" s="196">
        <v>821</v>
      </c>
      <c r="EA262" s="146">
        <v>717</v>
      </c>
      <c r="EB262" s="114">
        <v>20.5</v>
      </c>
      <c r="EC262" s="152"/>
      <c r="ED262" s="138">
        <v>23</v>
      </c>
      <c r="EE262" s="138">
        <v>11027</v>
      </c>
      <c r="EF262" s="138">
        <v>10956</v>
      </c>
      <c r="EG262" s="138">
        <v>11506</v>
      </c>
      <c r="EH262" s="138"/>
      <c r="EI262" s="138"/>
      <c r="EJ262" s="138"/>
      <c r="EK262" s="3">
        <v>-2507</v>
      </c>
      <c r="EL262" s="138">
        <v>142</v>
      </c>
      <c r="EM262" s="138">
        <v>13</v>
      </c>
      <c r="EN262" s="3">
        <v>-3931</v>
      </c>
      <c r="EO262" s="138">
        <v>570</v>
      </c>
      <c r="EP262" s="138">
        <v>85</v>
      </c>
      <c r="EQ262" s="3">
        <v>-2731</v>
      </c>
      <c r="ER262" s="138">
        <v>220</v>
      </c>
      <c r="ET262" s="163"/>
      <c r="EU262" s="163"/>
      <c r="EV262" s="138">
        <v>1500</v>
      </c>
      <c r="EW262" s="138"/>
      <c r="EX262" s="138">
        <v>1500</v>
      </c>
      <c r="EY262" s="138"/>
      <c r="EZ262" s="138">
        <v>969</v>
      </c>
      <c r="FA262" s="138">
        <v>412</v>
      </c>
      <c r="FB262" s="138">
        <v>557</v>
      </c>
      <c r="FC262" s="138">
        <v>721</v>
      </c>
      <c r="FD262" s="138">
        <v>1913</v>
      </c>
      <c r="FE262" s="138">
        <v>1340</v>
      </c>
      <c r="FF262" s="138">
        <v>573</v>
      </c>
      <c r="FG262" s="138">
        <v>720</v>
      </c>
      <c r="FH262" s="138">
        <v>2840</v>
      </c>
      <c r="FI262" s="138">
        <v>2423</v>
      </c>
      <c r="FJ262" s="138">
        <v>417</v>
      </c>
      <c r="FK262" s="138">
        <v>720</v>
      </c>
      <c r="FL262" s="147">
        <v>1413</v>
      </c>
      <c r="FM262" s="147">
        <v>1627.4055182007883</v>
      </c>
      <c r="FO262" s="181">
        <f t="shared" si="12"/>
        <v>482.4878048780488</v>
      </c>
      <c r="FP262" s="179">
        <f t="shared" si="14"/>
        <v>113.49983648036904</v>
      </c>
      <c r="FR262" s="184"/>
      <c r="FV262" s="184">
        <v>772</v>
      </c>
      <c r="FW262" s="2">
        <f t="shared" si="13"/>
        <v>-772</v>
      </c>
    </row>
    <row r="263" spans="1:179" ht="12.75">
      <c r="A263" s="82">
        <v>833</v>
      </c>
      <c r="B263" s="80" t="s">
        <v>253</v>
      </c>
      <c r="C263" s="191">
        <v>1690</v>
      </c>
      <c r="D263" s="146"/>
      <c r="E263" s="150">
        <v>5.573394495412844</v>
      </c>
      <c r="F263" s="150">
        <v>34.1</v>
      </c>
      <c r="G263" s="151">
        <v>-1326</v>
      </c>
      <c r="H263" s="152"/>
      <c r="I263" s="152"/>
      <c r="J263" s="152"/>
      <c r="K263" s="150">
        <v>55</v>
      </c>
      <c r="L263" s="151">
        <v>493</v>
      </c>
      <c r="M263" s="151">
        <v>25</v>
      </c>
      <c r="N263" s="154">
        <v>10666.272189349113</v>
      </c>
      <c r="O263" s="146">
        <v>4251</v>
      </c>
      <c r="P263" s="139">
        <v>2367</v>
      </c>
      <c r="Q263" s="139">
        <v>10154</v>
      </c>
      <c r="R263" s="139">
        <v>-7787</v>
      </c>
      <c r="S263" s="146">
        <v>5296</v>
      </c>
      <c r="T263" s="139">
        <v>3642</v>
      </c>
      <c r="U263" s="160"/>
      <c r="W263" s="138">
        <v>-49</v>
      </c>
      <c r="X263" s="138">
        <v>14</v>
      </c>
      <c r="Y263" s="139">
        <v>1116</v>
      </c>
      <c r="Z263" s="138">
        <v>185</v>
      </c>
      <c r="AC263" s="139">
        <v>931</v>
      </c>
      <c r="AD263" s="139"/>
      <c r="AG263" s="139">
        <v>931</v>
      </c>
      <c r="AH263" s="139">
        <v>-177</v>
      </c>
      <c r="AI263" s="139">
        <v>1115</v>
      </c>
      <c r="AJ263" s="176"/>
      <c r="AK263" s="139">
        <v>-80</v>
      </c>
      <c r="AL263" s="151">
        <v>-119</v>
      </c>
      <c r="AM263" s="151">
        <v>-512</v>
      </c>
      <c r="AN263" s="146">
        <v>5296</v>
      </c>
      <c r="AO263" s="139">
        <v>4216</v>
      </c>
      <c r="AP263" s="139">
        <v>234</v>
      </c>
      <c r="AQ263" s="139">
        <v>846</v>
      </c>
      <c r="AR263" s="114">
        <v>20</v>
      </c>
      <c r="AS263" s="152"/>
      <c r="AT263" s="138">
        <v>18</v>
      </c>
      <c r="AU263" s="191">
        <v>1682</v>
      </c>
      <c r="AV263" s="146"/>
      <c r="AW263" s="150">
        <v>6.475177304964539</v>
      </c>
      <c r="AX263" s="150">
        <v>48.5</v>
      </c>
      <c r="AY263" s="151">
        <v>-1745</v>
      </c>
      <c r="AZ263" s="152"/>
      <c r="BA263" s="152"/>
      <c r="BB263" s="152"/>
      <c r="BC263" s="150">
        <v>48.1</v>
      </c>
      <c r="BD263" s="151">
        <v>902</v>
      </c>
      <c r="BE263" s="151">
        <v>42</v>
      </c>
      <c r="BF263" s="154">
        <v>7866.230677764566</v>
      </c>
      <c r="BG263" s="146">
        <v>4608</v>
      </c>
      <c r="BH263" s="139">
        <v>2578</v>
      </c>
      <c r="BI263" s="139">
        <v>10937</v>
      </c>
      <c r="BJ263" s="139">
        <v>-8359</v>
      </c>
      <c r="BK263" s="146">
        <v>5172</v>
      </c>
      <c r="BL263" s="146">
        <v>4077</v>
      </c>
      <c r="BM263" s="160"/>
      <c r="BO263" s="138">
        <v>-89</v>
      </c>
      <c r="BP263" s="138">
        <v>6</v>
      </c>
      <c r="BQ263" s="139">
        <v>807</v>
      </c>
      <c r="BR263" s="138">
        <v>211</v>
      </c>
      <c r="BU263" s="139">
        <v>596</v>
      </c>
      <c r="BV263" s="139"/>
      <c r="BY263" s="138">
        <v>596</v>
      </c>
      <c r="BZ263" s="139">
        <v>414</v>
      </c>
      <c r="CA263" s="139">
        <v>841</v>
      </c>
      <c r="CB263" s="176"/>
      <c r="CC263" s="139">
        <v>-505</v>
      </c>
      <c r="CD263" s="151">
        <v>-35</v>
      </c>
      <c r="CE263" s="151">
        <v>-695</v>
      </c>
      <c r="CF263" s="138">
        <v>5172</v>
      </c>
      <c r="CG263" s="139">
        <v>4170</v>
      </c>
      <c r="CH263" s="139">
        <v>159</v>
      </c>
      <c r="CI263" s="139">
        <v>843</v>
      </c>
      <c r="CJ263" s="114">
        <v>20</v>
      </c>
      <c r="CK263" s="152"/>
      <c r="CL263" s="138">
        <v>23</v>
      </c>
      <c r="CM263" s="190">
        <v>1667</v>
      </c>
      <c r="CN263" s="146"/>
      <c r="CO263" s="150">
        <v>7.51207729468599</v>
      </c>
      <c r="CP263" s="150">
        <v>76.37002716088833</v>
      </c>
      <c r="CQ263" s="151">
        <v>-2962.2075584883023</v>
      </c>
      <c r="CR263" s="152"/>
      <c r="CS263" s="152"/>
      <c r="CT263" s="152"/>
      <c r="CU263" s="150">
        <v>40.23583728475168</v>
      </c>
      <c r="CV263" s="151">
        <v>2329.3341331733654</v>
      </c>
      <c r="CW263" s="151">
        <v>84.29756735859156</v>
      </c>
      <c r="CX263" s="154">
        <v>10085.782843431314</v>
      </c>
      <c r="CY263" s="146">
        <v>4455</v>
      </c>
      <c r="CZ263" s="139">
        <v>2086</v>
      </c>
      <c r="DA263" s="139">
        <v>10994</v>
      </c>
      <c r="DB263" s="139">
        <v>-8908</v>
      </c>
      <c r="DC263" s="146">
        <v>6019</v>
      </c>
      <c r="DD263" s="146">
        <v>4413</v>
      </c>
      <c r="DE263" s="160"/>
      <c r="DG263" s="138">
        <v>-151</v>
      </c>
      <c r="DH263" s="138">
        <v>9</v>
      </c>
      <c r="DI263" s="139">
        <v>1382</v>
      </c>
      <c r="DJ263" s="138">
        <v>263</v>
      </c>
      <c r="DM263" s="139">
        <v>1119</v>
      </c>
      <c r="DN263" s="139"/>
      <c r="DQ263" s="138">
        <v>1119</v>
      </c>
      <c r="DR263" s="139">
        <v>1533</v>
      </c>
      <c r="DS263" s="139">
        <v>1383</v>
      </c>
      <c r="DT263" s="176"/>
      <c r="DU263" s="139">
        <v>546</v>
      </c>
      <c r="DV263" s="151">
        <v>-35</v>
      </c>
      <c r="DW263" s="138">
        <v>-1991</v>
      </c>
      <c r="DX263" s="138">
        <v>6019</v>
      </c>
      <c r="DY263" s="146">
        <v>4963</v>
      </c>
      <c r="DZ263" s="196">
        <v>148</v>
      </c>
      <c r="EA263" s="146">
        <v>908</v>
      </c>
      <c r="EB263" s="114">
        <v>20</v>
      </c>
      <c r="EC263" s="152"/>
      <c r="ED263" s="138">
        <v>7</v>
      </c>
      <c r="EE263" s="138">
        <v>4774</v>
      </c>
      <c r="EF263" s="138">
        <v>5039</v>
      </c>
      <c r="EG263" s="138">
        <v>5296</v>
      </c>
      <c r="EH263" s="138"/>
      <c r="EI263" s="138"/>
      <c r="EJ263" s="138"/>
      <c r="EK263" s="3">
        <v>-1728</v>
      </c>
      <c r="EL263" s="138">
        <v>96</v>
      </c>
      <c r="EM263" s="138">
        <v>5</v>
      </c>
      <c r="EN263" s="3">
        <v>-2153</v>
      </c>
      <c r="EO263" s="138">
        <v>607</v>
      </c>
      <c r="EP263" s="138">
        <v>10</v>
      </c>
      <c r="EQ263" s="3">
        <v>-5612</v>
      </c>
      <c r="ER263" s="138">
        <v>2223</v>
      </c>
      <c r="ES263" s="138">
        <v>15</v>
      </c>
      <c r="ET263" s="163">
        <v>1200</v>
      </c>
      <c r="EU263" s="163">
        <v>-200</v>
      </c>
      <c r="EV263" s="138">
        <v>2000</v>
      </c>
      <c r="EW263" s="138"/>
      <c r="EX263" s="138">
        <v>3500</v>
      </c>
      <c r="EY263" s="138">
        <v>-200</v>
      </c>
      <c r="EZ263" s="138">
        <v>2848</v>
      </c>
      <c r="FA263" s="138">
        <v>2113</v>
      </c>
      <c r="FB263" s="138">
        <v>735</v>
      </c>
      <c r="FC263" s="138">
        <v>4</v>
      </c>
      <c r="FD263" s="138">
        <v>4813</v>
      </c>
      <c r="FE263" s="138">
        <v>4078</v>
      </c>
      <c r="FF263" s="138">
        <v>735</v>
      </c>
      <c r="FG263" s="138">
        <v>4</v>
      </c>
      <c r="FH263" s="138">
        <v>8079</v>
      </c>
      <c r="FI263" s="138">
        <v>7544</v>
      </c>
      <c r="FJ263" s="138">
        <v>535</v>
      </c>
      <c r="FK263" s="138">
        <v>4</v>
      </c>
      <c r="FL263" s="147">
        <v>2603</v>
      </c>
      <c r="FM263" s="147">
        <v>3995.8382877526756</v>
      </c>
      <c r="FO263" s="181">
        <f t="shared" si="12"/>
        <v>248.15</v>
      </c>
      <c r="FP263" s="179">
        <f t="shared" si="14"/>
        <v>148.8602279544091</v>
      </c>
      <c r="FR263" s="184"/>
      <c r="FV263" s="184">
        <v>119</v>
      </c>
      <c r="FW263" s="2">
        <f t="shared" si="13"/>
        <v>-119</v>
      </c>
    </row>
    <row r="264" spans="1:179" ht="12.75">
      <c r="A264" s="82">
        <v>834</v>
      </c>
      <c r="B264" s="80" t="s">
        <v>254</v>
      </c>
      <c r="C264" s="191">
        <v>6554</v>
      </c>
      <c r="D264" s="146"/>
      <c r="E264" s="150">
        <v>1.109745194456862</v>
      </c>
      <c r="F264" s="150">
        <v>23.5</v>
      </c>
      <c r="G264" s="151">
        <v>-952</v>
      </c>
      <c r="H264" s="152"/>
      <c r="I264" s="152"/>
      <c r="J264" s="152"/>
      <c r="K264" s="150">
        <v>77.9</v>
      </c>
      <c r="L264" s="151">
        <v>32</v>
      </c>
      <c r="M264" s="151">
        <v>2</v>
      </c>
      <c r="N264" s="154">
        <v>26634.57430576747</v>
      </c>
      <c r="O264" s="146">
        <v>14395</v>
      </c>
      <c r="P264" s="139">
        <v>4616</v>
      </c>
      <c r="Q264" s="139">
        <v>32482</v>
      </c>
      <c r="R264" s="139">
        <v>-27866</v>
      </c>
      <c r="S264" s="146">
        <v>18131</v>
      </c>
      <c r="T264" s="139">
        <v>11582</v>
      </c>
      <c r="U264" s="160"/>
      <c r="W264" s="138">
        <v>-82</v>
      </c>
      <c r="X264" s="138">
        <v>57</v>
      </c>
      <c r="Y264" s="139">
        <v>1822</v>
      </c>
      <c r="Z264" s="138">
        <v>1410</v>
      </c>
      <c r="AC264" s="139">
        <v>412</v>
      </c>
      <c r="AD264" s="139">
        <v>-32</v>
      </c>
      <c r="AE264" s="139">
        <v>180</v>
      </c>
      <c r="AG264" s="139">
        <v>560</v>
      </c>
      <c r="AH264" s="139">
        <v>8461</v>
      </c>
      <c r="AI264" s="139">
        <v>1731</v>
      </c>
      <c r="AJ264" s="176"/>
      <c r="AK264" s="138">
        <v>-69</v>
      </c>
      <c r="AL264" s="151">
        <v>-840</v>
      </c>
      <c r="AM264" s="151">
        <v>171</v>
      </c>
      <c r="AN264" s="146">
        <v>18131</v>
      </c>
      <c r="AO264" s="139">
        <v>15682</v>
      </c>
      <c r="AP264" s="139">
        <v>1430</v>
      </c>
      <c r="AQ264" s="139">
        <v>1019</v>
      </c>
      <c r="AR264" s="114">
        <v>18.5</v>
      </c>
      <c r="AS264" s="152"/>
      <c r="AT264" s="138">
        <v>144</v>
      </c>
      <c r="AU264" s="191">
        <v>6542</v>
      </c>
      <c r="AV264" s="146"/>
      <c r="AW264" s="150">
        <v>0.5876152832674572</v>
      </c>
      <c r="AX264" s="150">
        <v>32.4</v>
      </c>
      <c r="AY264" s="151">
        <v>-1455</v>
      </c>
      <c r="AZ264" s="152"/>
      <c r="BA264" s="152"/>
      <c r="BB264" s="152"/>
      <c r="BC264" s="150">
        <v>70.8</v>
      </c>
      <c r="BD264" s="151">
        <v>25</v>
      </c>
      <c r="BE264" s="151">
        <v>2</v>
      </c>
      <c r="BF264" s="154">
        <v>6048.456129623968</v>
      </c>
      <c r="BG264" s="146">
        <v>15347</v>
      </c>
      <c r="BH264" s="139">
        <v>4717</v>
      </c>
      <c r="BI264" s="139">
        <v>34669</v>
      </c>
      <c r="BJ264" s="139">
        <v>-29952</v>
      </c>
      <c r="BK264" s="146">
        <v>17954</v>
      </c>
      <c r="BL264" s="146">
        <v>12385</v>
      </c>
      <c r="BM264" s="160"/>
      <c r="BO264" s="138">
        <v>-71</v>
      </c>
      <c r="BP264" s="138">
        <v>48</v>
      </c>
      <c r="BQ264" s="139">
        <v>364</v>
      </c>
      <c r="BR264" s="138">
        <v>1692</v>
      </c>
      <c r="BU264" s="139">
        <v>-1328</v>
      </c>
      <c r="BV264" s="139">
        <v>150</v>
      </c>
      <c r="BW264" s="139"/>
      <c r="BY264" s="138">
        <v>-1178</v>
      </c>
      <c r="BZ264" s="139">
        <v>7284</v>
      </c>
      <c r="CA264" s="139">
        <v>327</v>
      </c>
      <c r="CB264" s="176"/>
      <c r="CC264" s="138">
        <v>-31</v>
      </c>
      <c r="CD264" s="151">
        <v>-677</v>
      </c>
      <c r="CE264" s="151">
        <v>-3016</v>
      </c>
      <c r="CF264" s="138">
        <v>17954</v>
      </c>
      <c r="CG264" s="139">
        <v>15979</v>
      </c>
      <c r="CH264" s="139">
        <v>942</v>
      </c>
      <c r="CI264" s="139">
        <v>1033</v>
      </c>
      <c r="CJ264" s="114">
        <v>18.5</v>
      </c>
      <c r="CK264" s="152"/>
      <c r="CL264" s="138">
        <v>217</v>
      </c>
      <c r="CM264" s="190">
        <v>6474</v>
      </c>
      <c r="CN264" s="146"/>
      <c r="CO264" s="150">
        <v>2.384105960264901</v>
      </c>
      <c r="CP264" s="150">
        <v>33.836431028505906</v>
      </c>
      <c r="CQ264" s="151">
        <v>-1705.746061167748</v>
      </c>
      <c r="CR264" s="152"/>
      <c r="CS264" s="152"/>
      <c r="CT264" s="152"/>
      <c r="CU264" s="150">
        <v>68.65997381056307</v>
      </c>
      <c r="CV264" s="151">
        <v>68.11862835959222</v>
      </c>
      <c r="CW264" s="151">
        <v>4.0060975609756095</v>
      </c>
      <c r="CX264" s="154">
        <v>6206.363917207291</v>
      </c>
      <c r="CY264" s="146">
        <v>15341</v>
      </c>
      <c r="CZ264" s="139">
        <v>4756</v>
      </c>
      <c r="DA264" s="139">
        <v>35378</v>
      </c>
      <c r="DB264" s="139">
        <v>-30622</v>
      </c>
      <c r="DC264" s="146">
        <v>19755</v>
      </c>
      <c r="DD264" s="146">
        <v>12990</v>
      </c>
      <c r="DE264" s="160"/>
      <c r="DG264" s="138">
        <v>-68</v>
      </c>
      <c r="DH264" s="138">
        <v>29</v>
      </c>
      <c r="DI264" s="139">
        <v>2084</v>
      </c>
      <c r="DJ264" s="138">
        <v>1880</v>
      </c>
      <c r="DM264" s="139">
        <v>204</v>
      </c>
      <c r="DN264" s="139">
        <v>141</v>
      </c>
      <c r="DO264" s="139"/>
      <c r="DQ264" s="138">
        <v>345</v>
      </c>
      <c r="DR264" s="139">
        <v>7629</v>
      </c>
      <c r="DS264" s="139">
        <v>2081</v>
      </c>
      <c r="DT264" s="176"/>
      <c r="DU264" s="138">
        <v>456</v>
      </c>
      <c r="DV264" s="151">
        <v>-830</v>
      </c>
      <c r="DW264" s="138">
        <v>-1532</v>
      </c>
      <c r="DX264" s="138">
        <v>19755</v>
      </c>
      <c r="DY264" s="146">
        <v>17347</v>
      </c>
      <c r="DZ264" s="196">
        <v>1106</v>
      </c>
      <c r="EA264" s="146">
        <v>1302</v>
      </c>
      <c r="EB264" s="114">
        <v>18.5</v>
      </c>
      <c r="EC264" s="152"/>
      <c r="ED264" s="138">
        <v>129</v>
      </c>
      <c r="EE264" s="138">
        <v>13853</v>
      </c>
      <c r="EF264" s="138">
        <v>15194</v>
      </c>
      <c r="EG264" s="138">
        <v>15935</v>
      </c>
      <c r="EH264" s="138"/>
      <c r="EI264" s="138"/>
      <c r="EJ264" s="138"/>
      <c r="EK264" s="3">
        <v>-6951</v>
      </c>
      <c r="EL264" s="138">
        <v>630</v>
      </c>
      <c r="EM264" s="138">
        <v>4761</v>
      </c>
      <c r="EN264" s="3">
        <v>-3909</v>
      </c>
      <c r="EO264" s="138">
        <v>434</v>
      </c>
      <c r="EP264" s="138">
        <v>132</v>
      </c>
      <c r="EQ264" s="3">
        <v>-3894</v>
      </c>
      <c r="ER264" s="138">
        <v>273</v>
      </c>
      <c r="ES264" s="138">
        <v>8</v>
      </c>
      <c r="ET264" s="163"/>
      <c r="EU264" s="163"/>
      <c r="EV264" s="138"/>
      <c r="EW264" s="138">
        <v>3500</v>
      </c>
      <c r="EX264" s="138">
        <v>2500</v>
      </c>
      <c r="EY264" s="138">
        <v>100</v>
      </c>
      <c r="EZ264" s="138">
        <v>3727</v>
      </c>
      <c r="FA264" s="138">
        <v>3050</v>
      </c>
      <c r="FB264" s="138">
        <v>677</v>
      </c>
      <c r="FC264" s="138">
        <v>0</v>
      </c>
      <c r="FD264" s="138">
        <v>6550</v>
      </c>
      <c r="FE264" s="138">
        <v>2470</v>
      </c>
      <c r="FF264" s="138">
        <v>4080</v>
      </c>
      <c r="FG264" s="138">
        <v>230</v>
      </c>
      <c r="FH264" s="138">
        <v>8320</v>
      </c>
      <c r="FI264" s="138">
        <v>3946</v>
      </c>
      <c r="FJ264" s="138">
        <v>4374</v>
      </c>
      <c r="FK264" s="138">
        <v>230</v>
      </c>
      <c r="FL264" s="147">
        <v>1341</v>
      </c>
      <c r="FM264" s="147">
        <v>1769.9480281259555</v>
      </c>
      <c r="FO264" s="181">
        <f t="shared" si="12"/>
        <v>937.6756756756756</v>
      </c>
      <c r="FP264" s="179">
        <f t="shared" si="14"/>
        <v>144.83714483714482</v>
      </c>
      <c r="FR264" s="184"/>
      <c r="FV264" s="184">
        <v>840</v>
      </c>
      <c r="FW264" s="2">
        <f t="shared" si="13"/>
        <v>-840</v>
      </c>
    </row>
    <row r="265" spans="1:179" ht="12.75">
      <c r="A265" s="82">
        <v>837</v>
      </c>
      <c r="B265" s="80" t="s">
        <v>255</v>
      </c>
      <c r="C265" s="191">
        <v>215168</v>
      </c>
      <c r="D265" s="146"/>
      <c r="E265" s="150">
        <v>5.5710554240470165</v>
      </c>
      <c r="F265" s="150">
        <v>38.9</v>
      </c>
      <c r="G265" s="151">
        <v>-1463</v>
      </c>
      <c r="H265" s="152"/>
      <c r="I265" s="152"/>
      <c r="J265" s="152"/>
      <c r="K265" s="150">
        <v>73.2</v>
      </c>
      <c r="L265" s="151">
        <v>550</v>
      </c>
      <c r="M265" s="151">
        <v>30</v>
      </c>
      <c r="N265" s="154">
        <v>5921.926122843545</v>
      </c>
      <c r="O265" s="146">
        <v>602647</v>
      </c>
      <c r="P265" s="139">
        <v>431332</v>
      </c>
      <c r="Q265" s="139">
        <v>1375767</v>
      </c>
      <c r="R265" s="139">
        <v>-944435</v>
      </c>
      <c r="S265" s="146">
        <v>765591</v>
      </c>
      <c r="T265" s="139">
        <v>223070</v>
      </c>
      <c r="U265" s="160"/>
      <c r="W265" s="138">
        <v>21005</v>
      </c>
      <c r="X265" s="138">
        <v>2758</v>
      </c>
      <c r="Y265" s="139">
        <v>67989</v>
      </c>
      <c r="Z265" s="138">
        <v>80464</v>
      </c>
      <c r="AC265" s="139">
        <v>-12475</v>
      </c>
      <c r="AD265" s="139">
        <v>-9707</v>
      </c>
      <c r="AE265" s="139">
        <v>8508</v>
      </c>
      <c r="AF265" s="138">
        <v>-172</v>
      </c>
      <c r="AG265" s="139">
        <v>-13846</v>
      </c>
      <c r="AH265" s="139">
        <v>622361</v>
      </c>
      <c r="AI265" s="139">
        <v>43704</v>
      </c>
      <c r="AJ265" s="176"/>
      <c r="AK265" s="139">
        <v>3542</v>
      </c>
      <c r="AL265" s="151">
        <v>-11989</v>
      </c>
      <c r="AM265" s="151">
        <v>-56295</v>
      </c>
      <c r="AN265" s="146">
        <v>765591</v>
      </c>
      <c r="AO265" s="139">
        <v>651243</v>
      </c>
      <c r="AP265" s="139">
        <v>71697</v>
      </c>
      <c r="AQ265" s="139">
        <v>42514</v>
      </c>
      <c r="AR265" s="114">
        <v>19</v>
      </c>
      <c r="AS265" s="152"/>
      <c r="AT265" s="138">
        <v>117</v>
      </c>
      <c r="AU265" s="191">
        <v>217421</v>
      </c>
      <c r="AV265" s="146"/>
      <c r="AW265" s="150">
        <v>0.9720470961546491</v>
      </c>
      <c r="AX265" s="150">
        <v>41.5</v>
      </c>
      <c r="AY265" s="151">
        <v>-1731</v>
      </c>
      <c r="AZ265" s="152"/>
      <c r="BA265" s="152"/>
      <c r="BB265" s="152"/>
      <c r="BC265" s="150">
        <v>70.9</v>
      </c>
      <c r="BD265" s="151">
        <v>437</v>
      </c>
      <c r="BE265" s="151">
        <v>22</v>
      </c>
      <c r="BF265" s="154">
        <v>7238.803979376417</v>
      </c>
      <c r="BG265" s="146">
        <v>631008</v>
      </c>
      <c r="BH265" s="139">
        <v>445169</v>
      </c>
      <c r="BI265" s="139">
        <v>1451577</v>
      </c>
      <c r="BJ265" s="139">
        <v>-1006408</v>
      </c>
      <c r="BK265" s="146">
        <v>781673</v>
      </c>
      <c r="BL265" s="146">
        <v>239700</v>
      </c>
      <c r="BM265" s="160"/>
      <c r="BO265" s="138">
        <v>16189</v>
      </c>
      <c r="BP265" s="138">
        <v>9363</v>
      </c>
      <c r="BQ265" s="139">
        <v>40650</v>
      </c>
      <c r="BR265" s="138">
        <v>83014</v>
      </c>
      <c r="BS265" s="138">
        <v>14001</v>
      </c>
      <c r="BU265" s="139">
        <v>-28363</v>
      </c>
      <c r="BV265" s="139">
        <v>1861</v>
      </c>
      <c r="BW265" s="139">
        <v>-2000</v>
      </c>
      <c r="BX265" s="138">
        <v>1066</v>
      </c>
      <c r="BY265" s="138">
        <v>-27436</v>
      </c>
      <c r="BZ265" s="139">
        <v>594925</v>
      </c>
      <c r="CA265" s="139">
        <v>25100</v>
      </c>
      <c r="CB265" s="176"/>
      <c r="CC265" s="139">
        <v>-15936</v>
      </c>
      <c r="CD265" s="151">
        <v>-41989</v>
      </c>
      <c r="CE265" s="151">
        <v>-93493</v>
      </c>
      <c r="CF265" s="138">
        <v>781673</v>
      </c>
      <c r="CG265" s="139">
        <v>685661</v>
      </c>
      <c r="CH265" s="139">
        <v>43837</v>
      </c>
      <c r="CI265" s="139">
        <v>52175</v>
      </c>
      <c r="CJ265" s="114">
        <v>19</v>
      </c>
      <c r="CK265" s="152"/>
      <c r="CL265" s="138">
        <v>124</v>
      </c>
      <c r="CM265" s="190">
        <v>220446</v>
      </c>
      <c r="CN265" s="146"/>
      <c r="CO265" s="150">
        <v>4.069691065961592</v>
      </c>
      <c r="CP265" s="150">
        <v>41.313363210769204</v>
      </c>
      <c r="CQ265" s="151">
        <v>-589.3189261769322</v>
      </c>
      <c r="CR265" s="152"/>
      <c r="CS265" s="152"/>
      <c r="CT265" s="152"/>
      <c r="CU265" s="150">
        <v>68.73660655572833</v>
      </c>
      <c r="CV265" s="151">
        <v>1748.03806827976</v>
      </c>
      <c r="CW265" s="151">
        <v>71.44334824487574</v>
      </c>
      <c r="CX265" s="154">
        <v>8930.62700162398</v>
      </c>
      <c r="CY265" s="146">
        <v>667934</v>
      </c>
      <c r="CZ265" s="139">
        <v>467859</v>
      </c>
      <c r="DA265" s="139">
        <v>1552667</v>
      </c>
      <c r="DB265" s="139">
        <v>-1084808</v>
      </c>
      <c r="DC265" s="146">
        <v>831436</v>
      </c>
      <c r="DD265" s="146">
        <v>302259</v>
      </c>
      <c r="DE265" s="160"/>
      <c r="DG265" s="138">
        <v>11017</v>
      </c>
      <c r="DH265" s="138">
        <v>7232</v>
      </c>
      <c r="DI265" s="139">
        <v>67136</v>
      </c>
      <c r="DJ265" s="138">
        <v>83670</v>
      </c>
      <c r="DK265" s="138">
        <v>16578</v>
      </c>
      <c r="DM265" s="139">
        <v>44</v>
      </c>
      <c r="DN265" s="139">
        <v>1052</v>
      </c>
      <c r="DO265" s="139">
        <v>-2000</v>
      </c>
      <c r="DP265" s="138">
        <v>-1167</v>
      </c>
      <c r="DQ265" s="138">
        <v>-2071</v>
      </c>
      <c r="DR265" s="139">
        <v>592854</v>
      </c>
      <c r="DS265" s="139">
        <v>47277</v>
      </c>
      <c r="DT265" s="176"/>
      <c r="DU265" s="139">
        <v>-14351</v>
      </c>
      <c r="DV265" s="151">
        <v>-11989</v>
      </c>
      <c r="DW265" s="138">
        <v>-43736</v>
      </c>
      <c r="DX265" s="138">
        <v>831436</v>
      </c>
      <c r="DY265" s="146">
        <v>727020</v>
      </c>
      <c r="DZ265" s="196">
        <v>51452</v>
      </c>
      <c r="EA265" s="146">
        <v>52833</v>
      </c>
      <c r="EB265" s="114">
        <v>19</v>
      </c>
      <c r="EC265" s="152"/>
      <c r="ED265" s="138">
        <v>140</v>
      </c>
      <c r="EE265" s="138">
        <v>551288</v>
      </c>
      <c r="EF265" s="138">
        <v>585839</v>
      </c>
      <c r="EG265" s="138">
        <v>624779</v>
      </c>
      <c r="EH265" s="138"/>
      <c r="EI265" s="138"/>
      <c r="EJ265" s="138"/>
      <c r="EK265" s="3">
        <v>-129864</v>
      </c>
      <c r="EL265" s="138">
        <v>3550</v>
      </c>
      <c r="EM265" s="138">
        <v>26315</v>
      </c>
      <c r="EN265" s="3">
        <v>-187341</v>
      </c>
      <c r="EO265" s="138">
        <v>1390</v>
      </c>
      <c r="EP265" s="138">
        <v>67357</v>
      </c>
      <c r="EQ265" s="3">
        <v>-148389</v>
      </c>
      <c r="ER265" s="138">
        <v>6554</v>
      </c>
      <c r="ES265" s="138">
        <v>50822</v>
      </c>
      <c r="ET265" s="163"/>
      <c r="EU265" s="163">
        <v>23011</v>
      </c>
      <c r="EV265" s="138">
        <v>110000</v>
      </c>
      <c r="EW265" s="138">
        <v>-27049</v>
      </c>
      <c r="EX265" s="138">
        <v>50000</v>
      </c>
      <c r="EY265" s="138">
        <v>-8584</v>
      </c>
      <c r="EZ265" s="138">
        <v>323123</v>
      </c>
      <c r="FA265" s="138">
        <v>85260</v>
      </c>
      <c r="FB265" s="138">
        <v>237863</v>
      </c>
      <c r="FC265" s="138">
        <v>427290</v>
      </c>
      <c r="FD265" s="138">
        <v>364085</v>
      </c>
      <c r="FE265" s="138">
        <v>183271</v>
      </c>
      <c r="FF265" s="138">
        <v>180814</v>
      </c>
      <c r="FG265" s="138">
        <v>395303</v>
      </c>
      <c r="FH265" s="138">
        <v>393512</v>
      </c>
      <c r="FI265" s="138">
        <v>218454</v>
      </c>
      <c r="FJ265" s="138">
        <v>175058</v>
      </c>
      <c r="FK265" s="138">
        <v>109688</v>
      </c>
      <c r="FL265" s="147">
        <v>3669</v>
      </c>
      <c r="FM265" s="147">
        <v>4037.195119146724</v>
      </c>
      <c r="FO265" s="181">
        <f t="shared" si="12"/>
        <v>38264.21052631579</v>
      </c>
      <c r="FP265" s="179">
        <f t="shared" si="14"/>
        <v>173.57634307864868</v>
      </c>
      <c r="FR265" s="184"/>
      <c r="FV265" s="184">
        <v>11989</v>
      </c>
      <c r="FW265" s="2">
        <f t="shared" si="13"/>
        <v>-11989</v>
      </c>
    </row>
    <row r="266" spans="1:179" ht="12.75">
      <c r="A266" s="82">
        <v>838</v>
      </c>
      <c r="B266" s="80" t="s">
        <v>256</v>
      </c>
      <c r="C266" s="191">
        <v>1944</v>
      </c>
      <c r="D266" s="146"/>
      <c r="E266" s="150">
        <v>0.39825581395348836</v>
      </c>
      <c r="F266" s="150">
        <v>84.2</v>
      </c>
      <c r="G266" s="151">
        <v>-4693</v>
      </c>
      <c r="H266" s="152"/>
      <c r="I266" s="152"/>
      <c r="J266" s="152"/>
      <c r="K266" s="150">
        <v>15.5</v>
      </c>
      <c r="L266" s="151">
        <v>169</v>
      </c>
      <c r="M266" s="151">
        <v>10</v>
      </c>
      <c r="N266" s="154">
        <v>7218.106995884774</v>
      </c>
      <c r="O266" s="146">
        <v>5256</v>
      </c>
      <c r="P266" s="139">
        <v>1767</v>
      </c>
      <c r="Q266" s="139">
        <v>11375</v>
      </c>
      <c r="R266" s="139">
        <v>-9608</v>
      </c>
      <c r="S266" s="146">
        <v>5950</v>
      </c>
      <c r="T266" s="139">
        <v>4003</v>
      </c>
      <c r="U266" s="160"/>
      <c r="W266" s="138">
        <v>-262</v>
      </c>
      <c r="X266" s="138">
        <v>20</v>
      </c>
      <c r="Y266" s="139">
        <v>103</v>
      </c>
      <c r="Z266" s="138">
        <v>366</v>
      </c>
      <c r="AC266" s="139">
        <v>-263</v>
      </c>
      <c r="AD266" s="139">
        <v>7</v>
      </c>
      <c r="AG266" s="139">
        <v>-256</v>
      </c>
      <c r="AH266" s="139">
        <v>-1483</v>
      </c>
      <c r="AI266" s="139">
        <v>103</v>
      </c>
      <c r="AJ266" s="176"/>
      <c r="AK266" s="139">
        <v>109</v>
      </c>
      <c r="AL266" s="151">
        <v>-310</v>
      </c>
      <c r="AM266" s="151">
        <v>102</v>
      </c>
      <c r="AN266" s="146">
        <v>5950</v>
      </c>
      <c r="AO266" s="139">
        <v>5415</v>
      </c>
      <c r="AP266" s="139">
        <v>306</v>
      </c>
      <c r="AQ266" s="139">
        <v>229</v>
      </c>
      <c r="AR266" s="114">
        <v>21</v>
      </c>
      <c r="AS266" s="152"/>
      <c r="AT266" s="138">
        <v>261</v>
      </c>
      <c r="AU266" s="191">
        <v>1959</v>
      </c>
      <c r="AV266" s="146"/>
      <c r="AW266" s="150">
        <v>0.3274336283185841</v>
      </c>
      <c r="AX266" s="150">
        <v>81.3</v>
      </c>
      <c r="AY266" s="151">
        <v>-4592</v>
      </c>
      <c r="AZ266" s="152"/>
      <c r="BA266" s="152"/>
      <c r="BB266" s="152"/>
      <c r="BC266" s="150">
        <v>13.8</v>
      </c>
      <c r="BD266" s="151">
        <v>90</v>
      </c>
      <c r="BE266" s="151">
        <v>5</v>
      </c>
      <c r="BF266" s="154">
        <v>6192.4451250638085</v>
      </c>
      <c r="BG266" s="146">
        <v>5295</v>
      </c>
      <c r="BH266" s="139">
        <v>1850</v>
      </c>
      <c r="BI266" s="139">
        <v>11528</v>
      </c>
      <c r="BJ266" s="139">
        <v>-9678</v>
      </c>
      <c r="BK266" s="146">
        <v>5949</v>
      </c>
      <c r="BL266" s="146">
        <v>3901</v>
      </c>
      <c r="BM266" s="160"/>
      <c r="BO266" s="138">
        <v>-254</v>
      </c>
      <c r="BP266" s="138">
        <v>13</v>
      </c>
      <c r="BQ266" s="139">
        <v>-69</v>
      </c>
      <c r="BR266" s="138">
        <v>347</v>
      </c>
      <c r="BS266" s="138">
        <v>132</v>
      </c>
      <c r="BU266" s="139">
        <v>-284</v>
      </c>
      <c r="BV266" s="139">
        <v>7</v>
      </c>
      <c r="BY266" s="138">
        <v>-277</v>
      </c>
      <c r="BZ266" s="139">
        <v>-1760</v>
      </c>
      <c r="CA266" s="139">
        <v>-69</v>
      </c>
      <c r="CB266" s="176"/>
      <c r="CC266" s="139">
        <v>80</v>
      </c>
      <c r="CD266" s="151">
        <v>-311</v>
      </c>
      <c r="CE266" s="151">
        <v>126</v>
      </c>
      <c r="CF266" s="138">
        <v>5949</v>
      </c>
      <c r="CG266" s="139">
        <v>5566</v>
      </c>
      <c r="CH266" s="139">
        <v>143</v>
      </c>
      <c r="CI266" s="139">
        <v>240</v>
      </c>
      <c r="CJ266" s="114">
        <v>21</v>
      </c>
      <c r="CK266" s="152"/>
      <c r="CL266" s="138">
        <v>260</v>
      </c>
      <c r="CM266" s="190">
        <v>1956</v>
      </c>
      <c r="CN266" s="146"/>
      <c r="CO266" s="150">
        <v>2.349328214971209</v>
      </c>
      <c r="CP266" s="150">
        <v>70.97052367513326</v>
      </c>
      <c r="CQ266" s="151">
        <v>-4021.472392638037</v>
      </c>
      <c r="CR266" s="152"/>
      <c r="CS266" s="152"/>
      <c r="CT266" s="152"/>
      <c r="CU266" s="150">
        <v>20.839438076359563</v>
      </c>
      <c r="CV266" s="151">
        <v>308.2822085889571</v>
      </c>
      <c r="CW266" s="151">
        <v>17.840236686390533</v>
      </c>
      <c r="CX266" s="154">
        <v>6307.259713701432</v>
      </c>
      <c r="CY266" s="146">
        <v>5502</v>
      </c>
      <c r="CZ266" s="139">
        <v>2016</v>
      </c>
      <c r="DA266" s="139">
        <v>11538</v>
      </c>
      <c r="DB266" s="139">
        <v>-9522</v>
      </c>
      <c r="DC266" s="146">
        <v>6489</v>
      </c>
      <c r="DD266" s="146">
        <v>4251</v>
      </c>
      <c r="DE266" s="160"/>
      <c r="DG266" s="138">
        <v>-228</v>
      </c>
      <c r="DH266" s="138">
        <v>6</v>
      </c>
      <c r="DI266" s="139">
        <v>996</v>
      </c>
      <c r="DJ266" s="138">
        <v>334</v>
      </c>
      <c r="DK266" s="138">
        <v>213</v>
      </c>
      <c r="DM266" s="139">
        <v>875</v>
      </c>
      <c r="DN266" s="139">
        <v>7</v>
      </c>
      <c r="DQ266" s="138">
        <v>882</v>
      </c>
      <c r="DR266" s="139">
        <v>-878</v>
      </c>
      <c r="DS266" s="139">
        <v>996</v>
      </c>
      <c r="DT266" s="176"/>
      <c r="DU266" s="139">
        <v>-245</v>
      </c>
      <c r="DV266" s="151">
        <v>-293</v>
      </c>
      <c r="DW266" s="138">
        <v>1129</v>
      </c>
      <c r="DX266" s="138">
        <v>6489</v>
      </c>
      <c r="DY266" s="146">
        <v>6055</v>
      </c>
      <c r="DZ266" s="196">
        <v>178</v>
      </c>
      <c r="EA266" s="146">
        <v>256</v>
      </c>
      <c r="EB266" s="114">
        <v>21</v>
      </c>
      <c r="EC266" s="152"/>
      <c r="ED266" s="138">
        <v>56</v>
      </c>
      <c r="EE266" s="138">
        <v>4785</v>
      </c>
      <c r="EF266" s="138">
        <v>4938</v>
      </c>
      <c r="EG266" s="138">
        <v>4720</v>
      </c>
      <c r="EH266" s="138">
        <v>300</v>
      </c>
      <c r="EI266" s="138"/>
      <c r="EJ266" s="138">
        <v>250</v>
      </c>
      <c r="EK266" s="3">
        <v>-42</v>
      </c>
      <c r="EL266" s="138"/>
      <c r="EM266" s="138">
        <v>41</v>
      </c>
      <c r="EN266" s="3">
        <v>-20</v>
      </c>
      <c r="EO266" s="138"/>
      <c r="EP266" s="138">
        <v>215</v>
      </c>
      <c r="EQ266" s="3">
        <v>-274</v>
      </c>
      <c r="ER266" s="138">
        <v>49</v>
      </c>
      <c r="ES266" s="138">
        <v>358</v>
      </c>
      <c r="ET266" s="163">
        <v>26</v>
      </c>
      <c r="EU266" s="163">
        <v>263</v>
      </c>
      <c r="EV266" s="138">
        <v>1</v>
      </c>
      <c r="EW266" s="138">
        <v>-26</v>
      </c>
      <c r="EX266" s="138"/>
      <c r="EY266" s="138">
        <v>-218</v>
      </c>
      <c r="EZ266" s="138">
        <v>8511</v>
      </c>
      <c r="FA266" s="138">
        <v>7677</v>
      </c>
      <c r="FB266" s="138">
        <v>834</v>
      </c>
      <c r="FC266" s="138">
        <v>0</v>
      </c>
      <c r="FD266" s="138">
        <v>8174</v>
      </c>
      <c r="FE266" s="138">
        <v>7366</v>
      </c>
      <c r="FF266" s="138">
        <v>808</v>
      </c>
      <c r="FG266" s="138">
        <v>0</v>
      </c>
      <c r="FH266" s="138">
        <v>7662</v>
      </c>
      <c r="FI266" s="138">
        <v>7073</v>
      </c>
      <c r="FJ266" s="138">
        <v>589</v>
      </c>
      <c r="FK266" s="138">
        <v>0</v>
      </c>
      <c r="FL266" s="147">
        <v>5187</v>
      </c>
      <c r="FM266" s="147">
        <v>4959.673302705462</v>
      </c>
      <c r="FO266" s="181">
        <f t="shared" si="12"/>
        <v>288.3333333333333</v>
      </c>
      <c r="FP266" s="179">
        <f t="shared" si="14"/>
        <v>147.40967961826857</v>
      </c>
      <c r="FR266" s="184"/>
      <c r="FV266" s="184">
        <v>310</v>
      </c>
      <c r="FW266" s="2">
        <f t="shared" si="13"/>
        <v>-310</v>
      </c>
    </row>
    <row r="267" spans="1:179" ht="12.75">
      <c r="A267" s="82">
        <v>844</v>
      </c>
      <c r="B267" s="80" t="s">
        <v>257</v>
      </c>
      <c r="C267" s="191">
        <v>1700</v>
      </c>
      <c r="D267" s="146"/>
      <c r="E267" s="150">
        <v>-0.5931232091690545</v>
      </c>
      <c r="F267" s="150">
        <v>39.1</v>
      </c>
      <c r="G267" s="151">
        <v>-114</v>
      </c>
      <c r="H267" s="152"/>
      <c r="I267" s="152"/>
      <c r="J267" s="152"/>
      <c r="K267" s="150">
        <v>69.1</v>
      </c>
      <c r="L267" s="151">
        <v>1910</v>
      </c>
      <c r="M267" s="151">
        <v>88</v>
      </c>
      <c r="N267" s="154">
        <v>7977.058823529413</v>
      </c>
      <c r="O267" s="146">
        <v>3893</v>
      </c>
      <c r="P267" s="139">
        <v>1568</v>
      </c>
      <c r="Q267" s="139">
        <v>10856</v>
      </c>
      <c r="R267" s="139">
        <v>-9288</v>
      </c>
      <c r="S267" s="146">
        <v>3778</v>
      </c>
      <c r="T267" s="139">
        <v>5134</v>
      </c>
      <c r="U267" s="160"/>
      <c r="W267" s="138">
        <v>-27</v>
      </c>
      <c r="X267" s="138">
        <v>69</v>
      </c>
      <c r="Y267" s="139">
        <v>-334</v>
      </c>
      <c r="Z267" s="138">
        <v>373</v>
      </c>
      <c r="AA267" s="139"/>
      <c r="AC267" s="139">
        <v>-707</v>
      </c>
      <c r="AD267" s="139">
        <v>45</v>
      </c>
      <c r="AE267" s="139">
        <v>100</v>
      </c>
      <c r="AF267" s="139">
        <v>220</v>
      </c>
      <c r="AG267" s="139">
        <v>-342</v>
      </c>
      <c r="AH267" s="139">
        <v>514</v>
      </c>
      <c r="AI267" s="139">
        <v>-377</v>
      </c>
      <c r="AJ267" s="176"/>
      <c r="AK267" s="139">
        <v>-182</v>
      </c>
      <c r="AL267" s="151">
        <v>-222</v>
      </c>
      <c r="AM267" s="151">
        <v>-2161</v>
      </c>
      <c r="AN267" s="146">
        <v>3778</v>
      </c>
      <c r="AO267" s="139">
        <v>3144</v>
      </c>
      <c r="AP267" s="139">
        <v>401</v>
      </c>
      <c r="AQ267" s="139">
        <v>233</v>
      </c>
      <c r="AR267" s="114">
        <v>19.75</v>
      </c>
      <c r="AS267" s="152"/>
      <c r="AT267" s="138">
        <v>313</v>
      </c>
      <c r="AU267" s="191">
        <v>1704</v>
      </c>
      <c r="AV267" s="146"/>
      <c r="AW267" s="150">
        <v>1.7642857142857142</v>
      </c>
      <c r="AX267" s="150">
        <v>40.9</v>
      </c>
      <c r="AY267" s="151">
        <v>-705</v>
      </c>
      <c r="AZ267" s="152"/>
      <c r="BA267" s="152"/>
      <c r="BB267" s="152"/>
      <c r="BC267" s="150">
        <v>63.5</v>
      </c>
      <c r="BD267" s="151">
        <v>2010</v>
      </c>
      <c r="BE267" s="151">
        <v>81</v>
      </c>
      <c r="BF267" s="154">
        <v>9071.009389671362</v>
      </c>
      <c r="BG267" s="146">
        <v>5095</v>
      </c>
      <c r="BH267" s="139">
        <v>3151</v>
      </c>
      <c r="BI267" s="139">
        <v>12912</v>
      </c>
      <c r="BJ267" s="139">
        <v>-9761</v>
      </c>
      <c r="BK267" s="146">
        <v>3885</v>
      </c>
      <c r="BL267" s="146">
        <v>6066</v>
      </c>
      <c r="BM267" s="160"/>
      <c r="BO267" s="138">
        <v>-61</v>
      </c>
      <c r="BP267" s="138">
        <v>301</v>
      </c>
      <c r="BQ267" s="139">
        <v>430</v>
      </c>
      <c r="BR267" s="138">
        <v>383</v>
      </c>
      <c r="BS267" s="139">
        <v>10</v>
      </c>
      <c r="BU267" s="139">
        <v>57</v>
      </c>
      <c r="BV267" s="139">
        <v>45</v>
      </c>
      <c r="BW267" s="139"/>
      <c r="BX267" s="139">
        <v>21</v>
      </c>
      <c r="BY267" s="138">
        <v>123</v>
      </c>
      <c r="BZ267" s="139">
        <v>605</v>
      </c>
      <c r="CA267" s="139">
        <v>278</v>
      </c>
      <c r="CB267" s="176"/>
      <c r="CC267" s="139">
        <v>-91</v>
      </c>
      <c r="CD267" s="151">
        <v>-216</v>
      </c>
      <c r="CE267" s="151">
        <v>-1066</v>
      </c>
      <c r="CF267" s="138">
        <v>3885</v>
      </c>
      <c r="CG267" s="139">
        <v>3287</v>
      </c>
      <c r="CH267" s="139">
        <v>225</v>
      </c>
      <c r="CI267" s="139">
        <v>373</v>
      </c>
      <c r="CJ267" s="114">
        <v>19.75</v>
      </c>
      <c r="CK267" s="152"/>
      <c r="CL267" s="138">
        <v>85</v>
      </c>
      <c r="CM267" s="190">
        <v>1669</v>
      </c>
      <c r="CN267" s="146"/>
      <c r="CO267" s="150">
        <v>1.409375</v>
      </c>
      <c r="CP267" s="150">
        <v>49.27060539752006</v>
      </c>
      <c r="CQ267" s="151">
        <v>-1457.759137207909</v>
      </c>
      <c r="CR267" s="152"/>
      <c r="CS267" s="152"/>
      <c r="CT267" s="152"/>
      <c r="CU267" s="150">
        <v>58.202887999029244</v>
      </c>
      <c r="CV267" s="151">
        <v>2098.8615937687237</v>
      </c>
      <c r="CW267" s="151">
        <v>79.82238731427144</v>
      </c>
      <c r="CX267" s="154">
        <v>9597.363690832834</v>
      </c>
      <c r="CY267" s="146">
        <v>5300</v>
      </c>
      <c r="CZ267" s="139">
        <v>3269</v>
      </c>
      <c r="DA267" s="139">
        <v>13526</v>
      </c>
      <c r="DB267" s="139">
        <v>-10257</v>
      </c>
      <c r="DC267" s="146">
        <v>4215</v>
      </c>
      <c r="DD267" s="146">
        <v>6226</v>
      </c>
      <c r="DE267" s="160"/>
      <c r="DG267" s="138">
        <v>-52</v>
      </c>
      <c r="DH267" s="138">
        <v>266</v>
      </c>
      <c r="DI267" s="139">
        <v>398</v>
      </c>
      <c r="DJ267" s="138">
        <v>376</v>
      </c>
      <c r="DK267" s="139"/>
      <c r="DM267" s="139">
        <v>22</v>
      </c>
      <c r="DN267" s="139">
        <v>47</v>
      </c>
      <c r="DO267" s="139"/>
      <c r="DP267" s="139"/>
      <c r="DQ267" s="138">
        <v>69</v>
      </c>
      <c r="DR267" s="139">
        <v>674</v>
      </c>
      <c r="DS267" s="139">
        <v>278</v>
      </c>
      <c r="DT267" s="176"/>
      <c r="DU267" s="139">
        <v>-82</v>
      </c>
      <c r="DV267" s="151">
        <v>-267</v>
      </c>
      <c r="DW267" s="138">
        <v>-1066</v>
      </c>
      <c r="DX267" s="138">
        <v>4215</v>
      </c>
      <c r="DY267" s="146">
        <v>3595</v>
      </c>
      <c r="DZ267" s="196">
        <v>297</v>
      </c>
      <c r="EA267" s="146">
        <v>323</v>
      </c>
      <c r="EB267" s="114">
        <v>19.75</v>
      </c>
      <c r="EC267" s="152"/>
      <c r="ED267" s="138">
        <v>177</v>
      </c>
      <c r="EE267" s="138">
        <v>5815</v>
      </c>
      <c r="EF267" s="138">
        <v>6369</v>
      </c>
      <c r="EG267" s="138">
        <v>6862</v>
      </c>
      <c r="EH267" s="138"/>
      <c r="EI267" s="138"/>
      <c r="EJ267" s="138"/>
      <c r="EK267" s="3">
        <v>-2169</v>
      </c>
      <c r="EL267" s="138">
        <v>256</v>
      </c>
      <c r="EM267" s="138">
        <v>129</v>
      </c>
      <c r="EN267" s="3">
        <v>-2193</v>
      </c>
      <c r="EO267" s="138">
        <v>633</v>
      </c>
      <c r="EP267" s="138">
        <v>216</v>
      </c>
      <c r="EQ267" s="3">
        <v>-1995</v>
      </c>
      <c r="ER267" s="138">
        <v>363</v>
      </c>
      <c r="ES267" s="138">
        <v>288</v>
      </c>
      <c r="ET267" s="163">
        <v>1500</v>
      </c>
      <c r="EU267" s="163">
        <v>262</v>
      </c>
      <c r="EV267" s="138">
        <v>1100</v>
      </c>
      <c r="EW267" s="138">
        <v>216</v>
      </c>
      <c r="EX267" s="138">
        <v>979</v>
      </c>
      <c r="EY267" s="138">
        <v>418</v>
      </c>
      <c r="EZ267" s="138">
        <v>2529</v>
      </c>
      <c r="FA267" s="138">
        <v>2052</v>
      </c>
      <c r="FB267" s="138">
        <v>477</v>
      </c>
      <c r="FC267" s="138">
        <v>153</v>
      </c>
      <c r="FD267" s="138">
        <v>3628</v>
      </c>
      <c r="FE267" s="138">
        <v>2884</v>
      </c>
      <c r="FF267" s="138">
        <v>744</v>
      </c>
      <c r="FG267" s="138">
        <v>153</v>
      </c>
      <c r="FH267" s="138">
        <v>4759</v>
      </c>
      <c r="FI267" s="138">
        <v>3510</v>
      </c>
      <c r="FJ267" s="138">
        <v>1249</v>
      </c>
      <c r="FK267" s="138">
        <v>313</v>
      </c>
      <c r="FL267" s="147">
        <v>2440</v>
      </c>
      <c r="FM267" s="147">
        <v>3286.3849765258215</v>
      </c>
      <c r="FO267" s="181">
        <f t="shared" si="12"/>
        <v>182.0253164556962</v>
      </c>
      <c r="FP267" s="179">
        <f t="shared" si="14"/>
        <v>109.0625023700996</v>
      </c>
      <c r="FR267" s="184"/>
      <c r="FV267" s="184">
        <v>222</v>
      </c>
      <c r="FW267" s="2">
        <f t="shared" si="13"/>
        <v>-222</v>
      </c>
    </row>
    <row r="268" spans="1:179" ht="12.75">
      <c r="A268" s="82">
        <v>845</v>
      </c>
      <c r="B268" s="80" t="s">
        <v>258</v>
      </c>
      <c r="C268" s="191">
        <v>3387</v>
      </c>
      <c r="D268" s="146"/>
      <c r="E268" s="150">
        <v>4.101234567901234</v>
      </c>
      <c r="F268" s="150">
        <v>28.6</v>
      </c>
      <c r="G268" s="151">
        <v>-1109</v>
      </c>
      <c r="H268" s="152"/>
      <c r="I268" s="152"/>
      <c r="J268" s="152"/>
      <c r="K268" s="150">
        <v>65.5</v>
      </c>
      <c r="L268" s="151">
        <v>1035</v>
      </c>
      <c r="M268" s="151">
        <v>43</v>
      </c>
      <c r="N268" s="154">
        <v>9090.935931502805</v>
      </c>
      <c r="O268" s="146">
        <v>16163</v>
      </c>
      <c r="P268" s="139">
        <v>8846</v>
      </c>
      <c r="Q268" s="139">
        <v>27295</v>
      </c>
      <c r="R268" s="139">
        <v>-18449</v>
      </c>
      <c r="S268" s="146">
        <v>10379</v>
      </c>
      <c r="T268" s="139">
        <v>10982</v>
      </c>
      <c r="U268" s="160"/>
      <c r="W268" s="138">
        <v>57</v>
      </c>
      <c r="X268" s="138">
        <v>345</v>
      </c>
      <c r="Y268" s="139">
        <v>3314</v>
      </c>
      <c r="Z268" s="138">
        <v>908</v>
      </c>
      <c r="AA268" s="139"/>
      <c r="AC268" s="139">
        <v>2406</v>
      </c>
      <c r="AD268" s="139">
        <v>57</v>
      </c>
      <c r="AE268" s="139"/>
      <c r="AG268" s="139">
        <v>2463</v>
      </c>
      <c r="AH268" s="139">
        <v>5756</v>
      </c>
      <c r="AI268" s="139">
        <v>3314</v>
      </c>
      <c r="AJ268" s="176"/>
      <c r="AK268" s="139">
        <v>-148</v>
      </c>
      <c r="AL268" s="151">
        <v>-802</v>
      </c>
      <c r="AM268" s="151">
        <v>1770</v>
      </c>
      <c r="AN268" s="146">
        <v>10379</v>
      </c>
      <c r="AO268" s="139">
        <v>7573</v>
      </c>
      <c r="AP268" s="139">
        <v>591</v>
      </c>
      <c r="AQ268" s="139">
        <v>2215</v>
      </c>
      <c r="AR268" s="114">
        <v>19.5</v>
      </c>
      <c r="AS268" s="152"/>
      <c r="AT268" s="138">
        <v>5</v>
      </c>
      <c r="AU268" s="191">
        <v>3339</v>
      </c>
      <c r="AV268" s="146"/>
      <c r="AW268" s="150">
        <v>3.9751633986928105</v>
      </c>
      <c r="AX268" s="150">
        <v>27.8</v>
      </c>
      <c r="AY268" s="151">
        <v>-720</v>
      </c>
      <c r="AZ268" s="152"/>
      <c r="BA268" s="152"/>
      <c r="BB268" s="152"/>
      <c r="BC268" s="150">
        <v>67.8</v>
      </c>
      <c r="BD268" s="151">
        <v>1419</v>
      </c>
      <c r="BE268" s="151">
        <v>54</v>
      </c>
      <c r="BF268" s="154">
        <v>9505.24109014675</v>
      </c>
      <c r="BG268" s="146">
        <v>16912</v>
      </c>
      <c r="BH268" s="139">
        <v>8770</v>
      </c>
      <c r="BI268" s="139">
        <v>28776</v>
      </c>
      <c r="BJ268" s="139">
        <v>-20006</v>
      </c>
      <c r="BK268" s="146">
        <v>10615</v>
      </c>
      <c r="BL268" s="146">
        <v>11954</v>
      </c>
      <c r="BM268" s="160"/>
      <c r="BO268" s="138">
        <v>72</v>
      </c>
      <c r="BP268" s="138">
        <v>302</v>
      </c>
      <c r="BQ268" s="139">
        <v>2937</v>
      </c>
      <c r="BR268" s="138">
        <v>931</v>
      </c>
      <c r="BS268" s="139"/>
      <c r="BU268" s="139">
        <v>2006</v>
      </c>
      <c r="BV268" s="139">
        <v>-307</v>
      </c>
      <c r="BW268" s="139">
        <v>370</v>
      </c>
      <c r="BY268" s="138">
        <v>2069</v>
      </c>
      <c r="BZ268" s="139">
        <v>7825</v>
      </c>
      <c r="CA268" s="139">
        <v>2937</v>
      </c>
      <c r="CB268" s="176"/>
      <c r="CC268" s="139">
        <v>-215</v>
      </c>
      <c r="CD268" s="151">
        <v>-661</v>
      </c>
      <c r="CE268" s="151">
        <v>1767</v>
      </c>
      <c r="CF268" s="138">
        <v>10615</v>
      </c>
      <c r="CG268" s="139">
        <v>7856</v>
      </c>
      <c r="CH268" s="139">
        <v>458</v>
      </c>
      <c r="CI268" s="139">
        <v>2301</v>
      </c>
      <c r="CJ268" s="114">
        <v>19.5</v>
      </c>
      <c r="CK268" s="152"/>
      <c r="CL268" s="138">
        <v>4</v>
      </c>
      <c r="CM268" s="190">
        <v>3306</v>
      </c>
      <c r="CN268" s="146"/>
      <c r="CO268" s="150">
        <v>4.86015037593985</v>
      </c>
      <c r="CP268" s="150">
        <v>27.60685916025722</v>
      </c>
      <c r="CQ268" s="151">
        <v>-141.56079854809437</v>
      </c>
      <c r="CR268" s="152"/>
      <c r="CS268" s="152"/>
      <c r="CT268" s="152"/>
      <c r="CU268" s="150">
        <v>69.83259079249359</v>
      </c>
      <c r="CV268" s="151">
        <v>1947.0659407138535</v>
      </c>
      <c r="CW268" s="151">
        <v>73.92797583461817</v>
      </c>
      <c r="CX268" s="154">
        <v>9613.127646702964</v>
      </c>
      <c r="CY268" s="146">
        <v>16355</v>
      </c>
      <c r="CZ268" s="139">
        <v>8292</v>
      </c>
      <c r="DA268" s="139">
        <v>28969</v>
      </c>
      <c r="DB268" s="139">
        <v>-20677</v>
      </c>
      <c r="DC268" s="146">
        <v>11483</v>
      </c>
      <c r="DD268" s="146">
        <v>11949</v>
      </c>
      <c r="DE268" s="160"/>
      <c r="DG268" s="138">
        <v>117</v>
      </c>
      <c r="DH268" s="138">
        <v>304</v>
      </c>
      <c r="DI268" s="139">
        <v>3176</v>
      </c>
      <c r="DJ268" s="138">
        <v>1018</v>
      </c>
      <c r="DK268" s="139"/>
      <c r="DM268" s="139">
        <v>2158</v>
      </c>
      <c r="DN268" s="139">
        <v>130</v>
      </c>
      <c r="DO268" s="139">
        <v>-1350</v>
      </c>
      <c r="DQ268" s="138">
        <v>938</v>
      </c>
      <c r="DR268" s="139">
        <v>8763</v>
      </c>
      <c r="DS268" s="139">
        <v>3124</v>
      </c>
      <c r="DT268" s="176"/>
      <c r="DU268" s="139">
        <v>-269</v>
      </c>
      <c r="DV268" s="151">
        <v>-609</v>
      </c>
      <c r="DW268" s="138">
        <v>2165</v>
      </c>
      <c r="DX268" s="138">
        <v>11483</v>
      </c>
      <c r="DY268" s="146">
        <v>8608</v>
      </c>
      <c r="DZ268" s="196">
        <v>513</v>
      </c>
      <c r="EA268" s="146">
        <v>2362</v>
      </c>
      <c r="EB268" s="114">
        <v>19.5</v>
      </c>
      <c r="EC268" s="152"/>
      <c r="ED268" s="138">
        <v>3</v>
      </c>
      <c r="EE268" s="138">
        <v>8552</v>
      </c>
      <c r="EF268" s="138">
        <v>9057</v>
      </c>
      <c r="EG268" s="138">
        <v>9607</v>
      </c>
      <c r="EH268" s="138"/>
      <c r="EI268" s="138"/>
      <c r="EJ268" s="138"/>
      <c r="EK268" s="3">
        <v>-1721</v>
      </c>
      <c r="EL268" s="138">
        <v>34</v>
      </c>
      <c r="EM268" s="138">
        <v>142</v>
      </c>
      <c r="EN268" s="3">
        <v>-1489</v>
      </c>
      <c r="EO268" s="138">
        <v>314</v>
      </c>
      <c r="EP268" s="138">
        <v>5</v>
      </c>
      <c r="EQ268" s="3">
        <v>-1582</v>
      </c>
      <c r="ER268" s="138">
        <v>557</v>
      </c>
      <c r="ES268" s="138">
        <v>66</v>
      </c>
      <c r="ET268" s="163"/>
      <c r="EU268" s="163"/>
      <c r="EV268" s="138"/>
      <c r="EW268" s="138"/>
      <c r="EX268" s="138"/>
      <c r="EY268" s="138"/>
      <c r="EZ268" s="138">
        <v>4361</v>
      </c>
      <c r="FA268" s="138">
        <v>3700</v>
      </c>
      <c r="FB268" s="138">
        <v>661</v>
      </c>
      <c r="FC268" s="138">
        <v>3342</v>
      </c>
      <c r="FD268" s="138">
        <v>3700</v>
      </c>
      <c r="FE268" s="138">
        <v>3091</v>
      </c>
      <c r="FF268" s="138">
        <v>609</v>
      </c>
      <c r="FG268" s="138">
        <v>3791</v>
      </c>
      <c r="FH268" s="138">
        <v>3090</v>
      </c>
      <c r="FI268" s="138">
        <v>2603</v>
      </c>
      <c r="FJ268" s="138">
        <v>487</v>
      </c>
      <c r="FK268" s="138">
        <v>4043</v>
      </c>
      <c r="FL268" s="147">
        <v>3363</v>
      </c>
      <c r="FM268" s="147">
        <v>3256.3641808924826</v>
      </c>
      <c r="FO268" s="181">
        <f t="shared" si="12"/>
        <v>441.43589743589746</v>
      </c>
      <c r="FP268" s="179">
        <f t="shared" si="14"/>
        <v>133.52567980517162</v>
      </c>
      <c r="FR268" s="184"/>
      <c r="FV268" s="184">
        <v>802</v>
      </c>
      <c r="FW268" s="2">
        <f t="shared" si="13"/>
        <v>-802</v>
      </c>
    </row>
    <row r="269" spans="1:179" ht="12.75">
      <c r="A269" s="82">
        <v>846</v>
      </c>
      <c r="B269" s="80" t="s">
        <v>259</v>
      </c>
      <c r="C269" s="191">
        <v>5847</v>
      </c>
      <c r="D269" s="146"/>
      <c r="E269" s="150">
        <v>-3.9356060606060606</v>
      </c>
      <c r="F269" s="150">
        <v>16.1</v>
      </c>
      <c r="G269" s="151">
        <v>-694</v>
      </c>
      <c r="H269" s="152"/>
      <c r="I269" s="152"/>
      <c r="J269" s="152"/>
      <c r="K269" s="150">
        <v>79.7</v>
      </c>
      <c r="L269" s="151">
        <v>71</v>
      </c>
      <c r="M269" s="151">
        <v>4</v>
      </c>
      <c r="N269" s="154">
        <v>6884.38515478023</v>
      </c>
      <c r="O269" s="146">
        <v>10715</v>
      </c>
      <c r="P269" s="139">
        <v>5147</v>
      </c>
      <c r="Q269" s="139">
        <v>37767</v>
      </c>
      <c r="R269" s="139">
        <v>-32620</v>
      </c>
      <c r="S269" s="146">
        <v>15447</v>
      </c>
      <c r="T269" s="139">
        <v>15853</v>
      </c>
      <c r="U269" s="160"/>
      <c r="W269" s="138">
        <v>42</v>
      </c>
      <c r="X269" s="138">
        <v>32</v>
      </c>
      <c r="Y269" s="139">
        <v>-1246</v>
      </c>
      <c r="Z269" s="138">
        <v>1216</v>
      </c>
      <c r="AC269" s="139">
        <v>-2462</v>
      </c>
      <c r="AD269" s="139"/>
      <c r="AG269" s="139">
        <v>-2462</v>
      </c>
      <c r="AH269" s="139">
        <v>1300</v>
      </c>
      <c r="AI269" s="139">
        <v>-1257</v>
      </c>
      <c r="AJ269" s="176"/>
      <c r="AK269" s="139">
        <v>98</v>
      </c>
      <c r="AL269" s="151">
        <v>-57</v>
      </c>
      <c r="AM269" s="151">
        <v>-3631</v>
      </c>
      <c r="AN269" s="146">
        <v>15447</v>
      </c>
      <c r="AO269" s="139">
        <v>13759</v>
      </c>
      <c r="AP269" s="139">
        <v>1054</v>
      </c>
      <c r="AQ269" s="139">
        <v>634</v>
      </c>
      <c r="AR269" s="114">
        <v>20.5</v>
      </c>
      <c r="AS269" s="152"/>
      <c r="AT269" s="138">
        <v>316</v>
      </c>
      <c r="AU269" s="191">
        <v>5767</v>
      </c>
      <c r="AV269" s="146"/>
      <c r="AW269" s="150">
        <v>-5.209944751381215</v>
      </c>
      <c r="AX269" s="150">
        <v>33.9</v>
      </c>
      <c r="AY269" s="151">
        <v>-1581</v>
      </c>
      <c r="AZ269" s="152"/>
      <c r="BA269" s="152"/>
      <c r="BB269" s="152"/>
      <c r="BC269" s="150">
        <v>61.9</v>
      </c>
      <c r="BD269" s="151">
        <v>395</v>
      </c>
      <c r="BE269" s="151">
        <v>19</v>
      </c>
      <c r="BF269" s="154">
        <v>7632.391191260621</v>
      </c>
      <c r="BG269" s="146">
        <v>11020</v>
      </c>
      <c r="BH269" s="139">
        <v>5636</v>
      </c>
      <c r="BI269" s="139">
        <v>39436</v>
      </c>
      <c r="BJ269" s="139">
        <v>-33800</v>
      </c>
      <c r="BK269" s="146">
        <v>15196</v>
      </c>
      <c r="BL269" s="146">
        <v>17585</v>
      </c>
      <c r="BM269" s="160"/>
      <c r="BO269" s="138">
        <v>-86</v>
      </c>
      <c r="BP269" s="138">
        <v>38</v>
      </c>
      <c r="BQ269" s="139">
        <v>-1067</v>
      </c>
      <c r="BR269" s="138">
        <v>1298</v>
      </c>
      <c r="BU269" s="139">
        <v>-2365</v>
      </c>
      <c r="BV269" s="139"/>
      <c r="BY269" s="138">
        <v>-2365</v>
      </c>
      <c r="BZ269" s="139">
        <v>-1065</v>
      </c>
      <c r="CA269" s="139">
        <v>-1073</v>
      </c>
      <c r="CB269" s="176"/>
      <c r="CC269" s="139">
        <v>-230</v>
      </c>
      <c r="CD269" s="151">
        <v>-57</v>
      </c>
      <c r="CE269" s="151">
        <v>-5385</v>
      </c>
      <c r="CF269" s="138">
        <v>15196</v>
      </c>
      <c r="CG269" s="139">
        <v>13939</v>
      </c>
      <c r="CH269" s="139">
        <v>619</v>
      </c>
      <c r="CI269" s="139">
        <v>638</v>
      </c>
      <c r="CJ269" s="114">
        <v>20.5</v>
      </c>
      <c r="CK269" s="152"/>
      <c r="CL269" s="138">
        <v>304</v>
      </c>
      <c r="CM269" s="190">
        <v>5656</v>
      </c>
      <c r="CN269" s="146"/>
      <c r="CO269" s="150">
        <v>0.3761467889908257</v>
      </c>
      <c r="CP269" s="150">
        <v>47.307299324644255</v>
      </c>
      <c r="CQ269" s="151">
        <v>-2859.6181046676093</v>
      </c>
      <c r="CR269" s="152"/>
      <c r="CS269" s="152"/>
      <c r="CT269" s="152"/>
      <c r="CU269" s="150">
        <v>51.520240631658105</v>
      </c>
      <c r="CV269" s="151">
        <v>139.4978783592645</v>
      </c>
      <c r="CW269" s="151">
        <v>5.821877653337647</v>
      </c>
      <c r="CX269" s="154">
        <v>8745.756718528997</v>
      </c>
      <c r="CY269" s="146">
        <v>10596</v>
      </c>
      <c r="CZ269" s="139">
        <v>5254</v>
      </c>
      <c r="DA269" s="139">
        <v>39883</v>
      </c>
      <c r="DB269" s="139">
        <v>-34629</v>
      </c>
      <c r="DC269" s="146">
        <v>16682</v>
      </c>
      <c r="DD269" s="146">
        <v>18191</v>
      </c>
      <c r="DE269" s="160"/>
      <c r="DG269" s="138">
        <v>-157</v>
      </c>
      <c r="DH269" s="138">
        <v>8</v>
      </c>
      <c r="DI269" s="139">
        <v>95</v>
      </c>
      <c r="DJ269" s="138">
        <v>1356</v>
      </c>
      <c r="DM269" s="139">
        <v>-1261</v>
      </c>
      <c r="DN269" s="139"/>
      <c r="DQ269" s="138">
        <v>-1261</v>
      </c>
      <c r="DR269" s="139">
        <v>-2327</v>
      </c>
      <c r="DS269" s="139">
        <v>96</v>
      </c>
      <c r="DT269" s="176"/>
      <c r="DU269" s="139">
        <v>-388</v>
      </c>
      <c r="DV269" s="151">
        <v>-570</v>
      </c>
      <c r="DW269" s="138">
        <v>-7106</v>
      </c>
      <c r="DX269" s="138">
        <v>16682</v>
      </c>
      <c r="DY269" s="146">
        <v>15353</v>
      </c>
      <c r="DZ269" s="196">
        <v>661</v>
      </c>
      <c r="EA269" s="146">
        <v>668</v>
      </c>
      <c r="EB269" s="114">
        <v>21.5</v>
      </c>
      <c r="EC269" s="152"/>
      <c r="ED269" s="138">
        <v>269</v>
      </c>
      <c r="EE269" s="138">
        <v>23893</v>
      </c>
      <c r="EF269" s="138">
        <v>25033</v>
      </c>
      <c r="EG269" s="138">
        <v>25818</v>
      </c>
      <c r="EH269" s="138"/>
      <c r="EI269" s="138">
        <v>780</v>
      </c>
      <c r="EJ269" s="138">
        <v>700</v>
      </c>
      <c r="EK269" s="3">
        <v>-2391</v>
      </c>
      <c r="EL269" s="138"/>
      <c r="EM269" s="138">
        <v>17</v>
      </c>
      <c r="EN269" s="3">
        <v>-4395</v>
      </c>
      <c r="EO269" s="138">
        <v>61</v>
      </c>
      <c r="EP269" s="138">
        <v>22</v>
      </c>
      <c r="EQ269" s="3">
        <v>-8806</v>
      </c>
      <c r="ER269" s="138">
        <v>1458</v>
      </c>
      <c r="ES269" s="138">
        <v>146</v>
      </c>
      <c r="ET269" s="163"/>
      <c r="EU269" s="163"/>
      <c r="EV269" s="138">
        <v>8000</v>
      </c>
      <c r="EW269" s="138"/>
      <c r="EX269" s="138">
        <v>6500</v>
      </c>
      <c r="EY269" s="138"/>
      <c r="EZ269" s="138">
        <v>279</v>
      </c>
      <c r="FA269" s="138">
        <v>222</v>
      </c>
      <c r="FB269" s="138">
        <v>57</v>
      </c>
      <c r="FC269" s="138">
        <v>367</v>
      </c>
      <c r="FD269" s="138">
        <v>8221</v>
      </c>
      <c r="FE269" s="138">
        <v>7651</v>
      </c>
      <c r="FF269" s="138">
        <v>570</v>
      </c>
      <c r="FG269" s="138">
        <v>366</v>
      </c>
      <c r="FH269" s="138">
        <v>14151</v>
      </c>
      <c r="FI269" s="138">
        <v>13265</v>
      </c>
      <c r="FJ269" s="138">
        <v>886</v>
      </c>
      <c r="FK269" s="138">
        <v>360</v>
      </c>
      <c r="FL269" s="147">
        <v>1090</v>
      </c>
      <c r="FM269" s="147">
        <v>2529.0445638980405</v>
      </c>
      <c r="FO269" s="181">
        <f t="shared" si="12"/>
        <v>714.0930232558139</v>
      </c>
      <c r="FP269" s="179">
        <f t="shared" si="14"/>
        <v>126.25407058978323</v>
      </c>
      <c r="FR269" s="184"/>
      <c r="FV269" s="184">
        <v>57</v>
      </c>
      <c r="FW269" s="2">
        <f t="shared" si="13"/>
        <v>-57</v>
      </c>
    </row>
    <row r="270" spans="1:179" ht="12.75">
      <c r="A270" s="82">
        <v>848</v>
      </c>
      <c r="B270" s="80" t="s">
        <v>260</v>
      </c>
      <c r="C270" s="191">
        <v>4992</v>
      </c>
      <c r="D270" s="146"/>
      <c r="E270" s="150">
        <v>0.6506390748630554</v>
      </c>
      <c r="F270" s="150">
        <v>42.5</v>
      </c>
      <c r="G270" s="151">
        <v>-2210</v>
      </c>
      <c r="H270" s="152"/>
      <c r="I270" s="152"/>
      <c r="J270" s="152"/>
      <c r="K270" s="150">
        <v>41.9</v>
      </c>
      <c r="L270" s="151">
        <v>400</v>
      </c>
      <c r="M270" s="151">
        <v>19</v>
      </c>
      <c r="N270" s="154">
        <v>8287.660256410258</v>
      </c>
      <c r="O270" s="146">
        <v>12724</v>
      </c>
      <c r="P270" s="139">
        <v>8462</v>
      </c>
      <c r="Q270" s="139">
        <v>36244</v>
      </c>
      <c r="R270" s="139">
        <v>-27782</v>
      </c>
      <c r="S270" s="146">
        <v>13217</v>
      </c>
      <c r="T270" s="139">
        <v>15352</v>
      </c>
      <c r="U270" s="160"/>
      <c r="W270" s="138">
        <v>-181</v>
      </c>
      <c r="X270" s="138">
        <v>218</v>
      </c>
      <c r="Y270" s="139">
        <v>824</v>
      </c>
      <c r="Z270" s="138">
        <v>876</v>
      </c>
      <c r="AC270" s="139">
        <v>-52</v>
      </c>
      <c r="AD270" s="139">
        <v>5</v>
      </c>
      <c r="AG270" s="139">
        <v>-47</v>
      </c>
      <c r="AH270" s="139">
        <v>-2807</v>
      </c>
      <c r="AI270" s="139">
        <v>758</v>
      </c>
      <c r="AJ270" s="176"/>
      <c r="AK270" s="138">
        <v>1385</v>
      </c>
      <c r="AL270" s="151">
        <v>-1398</v>
      </c>
      <c r="AM270" s="151">
        <v>31</v>
      </c>
      <c r="AN270" s="146">
        <v>13217</v>
      </c>
      <c r="AO270" s="139">
        <v>11682</v>
      </c>
      <c r="AP270" s="139">
        <v>893</v>
      </c>
      <c r="AQ270" s="139">
        <v>642</v>
      </c>
      <c r="AR270" s="114">
        <v>21.5</v>
      </c>
      <c r="AS270" s="152"/>
      <c r="AT270" s="138">
        <v>222</v>
      </c>
      <c r="AU270" s="191">
        <v>4897</v>
      </c>
      <c r="AV270" s="146"/>
      <c r="AW270" s="150">
        <v>0.015829318651066758</v>
      </c>
      <c r="AX270" s="150">
        <v>34.3</v>
      </c>
      <c r="AY270" s="151">
        <v>-2247</v>
      </c>
      <c r="AZ270" s="152"/>
      <c r="BA270" s="152"/>
      <c r="BB270" s="152"/>
      <c r="BC270" s="150">
        <v>44.5</v>
      </c>
      <c r="BD270" s="151">
        <v>76</v>
      </c>
      <c r="BE270" s="151">
        <v>3</v>
      </c>
      <c r="BF270" s="154">
        <v>8067.388196855218</v>
      </c>
      <c r="BG270" s="146">
        <v>13639</v>
      </c>
      <c r="BH270" s="139">
        <v>8779</v>
      </c>
      <c r="BI270" s="139">
        <v>37388</v>
      </c>
      <c r="BJ270" s="139">
        <v>-28609</v>
      </c>
      <c r="BK270" s="146">
        <v>13211</v>
      </c>
      <c r="BL270" s="146">
        <v>15190</v>
      </c>
      <c r="BM270" s="160"/>
      <c r="BO270" s="138">
        <v>-175</v>
      </c>
      <c r="BP270" s="138">
        <v>226</v>
      </c>
      <c r="BQ270" s="139">
        <v>-157</v>
      </c>
      <c r="BR270" s="138">
        <v>942</v>
      </c>
      <c r="BU270" s="139">
        <v>-1099</v>
      </c>
      <c r="BV270" s="139">
        <v>5</v>
      </c>
      <c r="BY270" s="138">
        <v>-1094</v>
      </c>
      <c r="BZ270" s="139">
        <v>-3902</v>
      </c>
      <c r="CA270" s="139">
        <v>-70</v>
      </c>
      <c r="CB270" s="176"/>
      <c r="CC270" s="138">
        <v>1309</v>
      </c>
      <c r="CD270" s="151">
        <v>-1273</v>
      </c>
      <c r="CE270" s="151">
        <v>-110</v>
      </c>
      <c r="CF270" s="138">
        <v>13211</v>
      </c>
      <c r="CG270" s="139">
        <v>12034</v>
      </c>
      <c r="CH270" s="139">
        <v>527</v>
      </c>
      <c r="CI270" s="139">
        <v>650</v>
      </c>
      <c r="CJ270" s="114">
        <v>21.5</v>
      </c>
      <c r="CK270" s="152"/>
      <c r="CL270" s="138">
        <v>258</v>
      </c>
      <c r="CM270" s="190">
        <v>4876</v>
      </c>
      <c r="CN270" s="146"/>
      <c r="CO270" s="150">
        <v>1.5828092243186582</v>
      </c>
      <c r="CP270" s="150">
        <v>36.19212726901897</v>
      </c>
      <c r="CQ270" s="151">
        <v>-2037.7358490566037</v>
      </c>
      <c r="CR270" s="152"/>
      <c r="CS270" s="152"/>
      <c r="CT270" s="152"/>
      <c r="CU270" s="150">
        <v>50.14013452914798</v>
      </c>
      <c r="CV270" s="151">
        <v>439.2945036915504</v>
      </c>
      <c r="CW270" s="151">
        <v>18.129391304347827</v>
      </c>
      <c r="CX270" s="154">
        <v>8844.33962264151</v>
      </c>
      <c r="CY270" s="146">
        <v>12909</v>
      </c>
      <c r="CZ270" s="139">
        <v>10428</v>
      </c>
      <c r="DA270" s="139">
        <v>37194</v>
      </c>
      <c r="DB270" s="139">
        <v>-26766</v>
      </c>
      <c r="DC270" s="146">
        <v>13614</v>
      </c>
      <c r="DD270" s="146">
        <v>15182</v>
      </c>
      <c r="DE270" s="160"/>
      <c r="DG270" s="138">
        <v>-95</v>
      </c>
      <c r="DH270" s="138">
        <v>229</v>
      </c>
      <c r="DI270" s="139">
        <v>2164</v>
      </c>
      <c r="DJ270" s="138">
        <v>1040</v>
      </c>
      <c r="DK270" s="138">
        <v>3434</v>
      </c>
      <c r="DM270" s="139">
        <v>4558</v>
      </c>
      <c r="DN270" s="139">
        <v>5</v>
      </c>
      <c r="DQ270" s="138">
        <v>4563</v>
      </c>
      <c r="DR270" s="139">
        <v>146</v>
      </c>
      <c r="DS270" s="139">
        <v>2223</v>
      </c>
      <c r="DT270" s="176"/>
      <c r="DU270" s="138">
        <v>-730</v>
      </c>
      <c r="DV270" s="151">
        <v>-1330</v>
      </c>
      <c r="DW270" s="138">
        <v>5041</v>
      </c>
      <c r="DX270" s="138">
        <v>13614</v>
      </c>
      <c r="DY270" s="146">
        <v>12109</v>
      </c>
      <c r="DZ270" s="196">
        <v>667</v>
      </c>
      <c r="EA270" s="146">
        <v>838</v>
      </c>
      <c r="EB270" s="114">
        <v>21.75</v>
      </c>
      <c r="EC270" s="152"/>
      <c r="ED270" s="138">
        <v>71</v>
      </c>
      <c r="EE270" s="138">
        <v>21174</v>
      </c>
      <c r="EF270" s="138">
        <v>21013</v>
      </c>
      <c r="EG270" s="138">
        <v>21032</v>
      </c>
      <c r="EH270" s="138">
        <v>800</v>
      </c>
      <c r="EI270" s="138">
        <v>600</v>
      </c>
      <c r="EJ270" s="138"/>
      <c r="EK270" s="3">
        <v>-874</v>
      </c>
      <c r="EL270" s="138">
        <v>52</v>
      </c>
      <c r="EM270" s="138">
        <v>95</v>
      </c>
      <c r="EN270" s="3">
        <v>-661</v>
      </c>
      <c r="EO270" s="138">
        <v>194</v>
      </c>
      <c r="EP270" s="138">
        <v>427</v>
      </c>
      <c r="EQ270" s="3">
        <v>-998</v>
      </c>
      <c r="ER270" s="138">
        <v>208</v>
      </c>
      <c r="ES270" s="138">
        <v>3608</v>
      </c>
      <c r="ET270" s="163"/>
      <c r="EU270" s="163"/>
      <c r="EV270" s="138">
        <v>1200</v>
      </c>
      <c r="EW270" s="138"/>
      <c r="EX270" s="138">
        <v>2000</v>
      </c>
      <c r="EY270" s="138"/>
      <c r="EZ270" s="138">
        <v>9113</v>
      </c>
      <c r="FA270" s="138">
        <v>7840</v>
      </c>
      <c r="FB270" s="138">
        <v>1273</v>
      </c>
      <c r="FC270" s="138">
        <v>415</v>
      </c>
      <c r="FD270" s="138">
        <v>9040</v>
      </c>
      <c r="FE270" s="138">
        <v>7777</v>
      </c>
      <c r="FF270" s="138">
        <v>1263</v>
      </c>
      <c r="FG270" s="138">
        <v>405</v>
      </c>
      <c r="FH270" s="138">
        <v>9710</v>
      </c>
      <c r="FI270" s="138">
        <v>8503</v>
      </c>
      <c r="FJ270" s="138">
        <v>1207</v>
      </c>
      <c r="FK270" s="138">
        <v>3895</v>
      </c>
      <c r="FL270" s="147">
        <v>2717</v>
      </c>
      <c r="FM270" s="147">
        <v>2740.8617520931184</v>
      </c>
      <c r="FO270" s="181">
        <f t="shared" si="12"/>
        <v>556.735632183908</v>
      </c>
      <c r="FP270" s="179">
        <f t="shared" si="14"/>
        <v>114.17875967676538</v>
      </c>
      <c r="FR270" s="184"/>
      <c r="FV270" s="184">
        <v>1398</v>
      </c>
      <c r="FW270" s="2">
        <f t="shared" si="13"/>
        <v>-1398</v>
      </c>
    </row>
    <row r="271" spans="1:179" ht="12.75">
      <c r="A271" s="82">
        <v>849</v>
      </c>
      <c r="B271" s="80" t="s">
        <v>261</v>
      </c>
      <c r="C271" s="191">
        <v>3485</v>
      </c>
      <c r="D271" s="146"/>
      <c r="E271" s="150">
        <v>-4.786885245901639</v>
      </c>
      <c r="F271" s="150">
        <v>66.8</v>
      </c>
      <c r="G271" s="151">
        <v>-4351</v>
      </c>
      <c r="H271" s="152"/>
      <c r="I271" s="152"/>
      <c r="J271" s="152"/>
      <c r="K271" s="150">
        <v>37.2</v>
      </c>
      <c r="L271" s="151">
        <v>594</v>
      </c>
      <c r="M271" s="151">
        <v>23</v>
      </c>
      <c r="N271" s="154">
        <v>8468.57962697274</v>
      </c>
      <c r="O271" s="146">
        <v>11952</v>
      </c>
      <c r="P271" s="139">
        <v>9830</v>
      </c>
      <c r="Q271" s="139">
        <v>28041</v>
      </c>
      <c r="R271" s="139">
        <v>-18211</v>
      </c>
      <c r="S271" s="146">
        <v>9257</v>
      </c>
      <c r="T271" s="139">
        <v>8801</v>
      </c>
      <c r="U271" s="160"/>
      <c r="W271" s="138">
        <v>-210</v>
      </c>
      <c r="X271" s="138">
        <v>20</v>
      </c>
      <c r="Y271" s="139">
        <v>-343</v>
      </c>
      <c r="Z271" s="138">
        <v>762</v>
      </c>
      <c r="AC271" s="139">
        <v>-1105</v>
      </c>
      <c r="AD271" s="138">
        <v>18</v>
      </c>
      <c r="AG271" s="139">
        <v>-1087</v>
      </c>
      <c r="AH271" s="139">
        <v>1320</v>
      </c>
      <c r="AI271" s="139">
        <v>-345</v>
      </c>
      <c r="AJ271" s="176"/>
      <c r="AK271" s="139">
        <v>514</v>
      </c>
      <c r="AL271" s="151">
        <v>-10</v>
      </c>
      <c r="AM271" s="151">
        <v>-3244</v>
      </c>
      <c r="AN271" s="146">
        <v>9257</v>
      </c>
      <c r="AO271" s="139">
        <v>8133</v>
      </c>
      <c r="AP271" s="139">
        <v>674</v>
      </c>
      <c r="AQ271" s="139">
        <v>450</v>
      </c>
      <c r="AR271" s="114">
        <v>20</v>
      </c>
      <c r="AS271" s="152"/>
      <c r="AT271" s="138">
        <v>306</v>
      </c>
      <c r="AU271" s="191">
        <v>3426</v>
      </c>
      <c r="AV271" s="146"/>
      <c r="AW271" s="150">
        <v>1.2610062893081762</v>
      </c>
      <c r="AX271" s="150">
        <v>72</v>
      </c>
      <c r="AY271" s="151">
        <v>-5518</v>
      </c>
      <c r="AZ271" s="152"/>
      <c r="BA271" s="152"/>
      <c r="BB271" s="152"/>
      <c r="BC271" s="150">
        <v>32.9</v>
      </c>
      <c r="BD271" s="151">
        <v>266</v>
      </c>
      <c r="BE271" s="151">
        <v>10</v>
      </c>
      <c r="BF271" s="154">
        <v>9690.309398715703</v>
      </c>
      <c r="BG271" s="146">
        <v>12405</v>
      </c>
      <c r="BH271" s="139">
        <v>10458</v>
      </c>
      <c r="BI271" s="139">
        <v>28845</v>
      </c>
      <c r="BJ271" s="139">
        <v>-18387</v>
      </c>
      <c r="BK271" s="146">
        <v>9157</v>
      </c>
      <c r="BL271" s="146">
        <v>9579</v>
      </c>
      <c r="BM271" s="160"/>
      <c r="BO271" s="138">
        <v>-270</v>
      </c>
      <c r="BP271" s="138">
        <v>15</v>
      </c>
      <c r="BQ271" s="139">
        <v>94</v>
      </c>
      <c r="BR271" s="138">
        <v>843</v>
      </c>
      <c r="BU271" s="139">
        <v>-749</v>
      </c>
      <c r="BV271" s="138">
        <v>18</v>
      </c>
      <c r="BY271" s="138">
        <v>-731</v>
      </c>
      <c r="BZ271" s="139">
        <v>590</v>
      </c>
      <c r="CA271" s="139">
        <v>90</v>
      </c>
      <c r="CB271" s="176"/>
      <c r="CC271" s="139">
        <v>167</v>
      </c>
      <c r="CD271" s="151">
        <v>-11</v>
      </c>
      <c r="CE271" s="151">
        <v>-3721</v>
      </c>
      <c r="CF271" s="138">
        <v>9157</v>
      </c>
      <c r="CG271" s="139">
        <v>8200</v>
      </c>
      <c r="CH271" s="139">
        <v>406</v>
      </c>
      <c r="CI271" s="139">
        <v>551</v>
      </c>
      <c r="CJ271" s="114">
        <v>20.5</v>
      </c>
      <c r="CK271" s="152"/>
      <c r="CL271" s="138">
        <v>228</v>
      </c>
      <c r="CM271" s="190">
        <v>3381</v>
      </c>
      <c r="CN271" s="146"/>
      <c r="CO271" s="150">
        <v>3.356194690265487</v>
      </c>
      <c r="CP271" s="150">
        <v>75.90737785624555</v>
      </c>
      <c r="CQ271" s="151">
        <v>-5559.006211180124</v>
      </c>
      <c r="CR271" s="152"/>
      <c r="CS271" s="152"/>
      <c r="CT271" s="152"/>
      <c r="CU271" s="150">
        <v>31.99434739469016</v>
      </c>
      <c r="CV271" s="151">
        <v>263.5314995563443</v>
      </c>
      <c r="CW271" s="151">
        <v>10.982169992908519</v>
      </c>
      <c r="CX271" s="154">
        <v>8758.651286601598</v>
      </c>
      <c r="CY271" s="146">
        <v>12122</v>
      </c>
      <c r="CZ271" s="139">
        <v>10181</v>
      </c>
      <c r="DA271" s="139">
        <v>27971</v>
      </c>
      <c r="DB271" s="139">
        <v>-17790</v>
      </c>
      <c r="DC271" s="146">
        <v>9883</v>
      </c>
      <c r="DD271" s="146">
        <v>9389</v>
      </c>
      <c r="DE271" s="160"/>
      <c r="DG271" s="138">
        <v>-352</v>
      </c>
      <c r="DH271" s="138">
        <v>3</v>
      </c>
      <c r="DI271" s="139">
        <v>1133</v>
      </c>
      <c r="DJ271" s="138">
        <v>908</v>
      </c>
      <c r="DM271" s="139">
        <v>225</v>
      </c>
      <c r="DN271" s="138">
        <v>18</v>
      </c>
      <c r="DQ271" s="138">
        <v>243</v>
      </c>
      <c r="DR271" s="139">
        <v>832</v>
      </c>
      <c r="DS271" s="139">
        <v>1126</v>
      </c>
      <c r="DT271" s="176"/>
      <c r="DU271" s="139">
        <v>-1467</v>
      </c>
      <c r="DV271" s="151">
        <v>-67</v>
      </c>
      <c r="DW271" s="138">
        <v>147</v>
      </c>
      <c r="DX271" s="138">
        <v>9883</v>
      </c>
      <c r="DY271" s="146">
        <v>8877</v>
      </c>
      <c r="DZ271" s="196">
        <v>438</v>
      </c>
      <c r="EA271" s="146">
        <v>568</v>
      </c>
      <c r="EB271" s="114">
        <v>21</v>
      </c>
      <c r="EC271" s="152"/>
      <c r="ED271" s="138">
        <v>120</v>
      </c>
      <c r="EE271" s="138">
        <v>13856</v>
      </c>
      <c r="EF271" s="138">
        <v>14265</v>
      </c>
      <c r="EG271" s="138">
        <v>13936</v>
      </c>
      <c r="EH271" s="138"/>
      <c r="EI271" s="138">
        <v>450</v>
      </c>
      <c r="EJ271" s="138"/>
      <c r="EK271" s="3">
        <v>-3284</v>
      </c>
      <c r="EL271" s="138">
        <v>276</v>
      </c>
      <c r="EM271" s="138">
        <v>109</v>
      </c>
      <c r="EN271" s="3">
        <v>-4031</v>
      </c>
      <c r="EO271" s="138">
        <v>216</v>
      </c>
      <c r="EP271" s="138">
        <v>4</v>
      </c>
      <c r="EQ271" s="3">
        <v>-1183</v>
      </c>
      <c r="ER271" s="138">
        <v>188</v>
      </c>
      <c r="ES271" s="138">
        <v>16</v>
      </c>
      <c r="ET271" s="163">
        <v>5750</v>
      </c>
      <c r="EU271" s="163">
        <v>-1700</v>
      </c>
      <c r="EV271" s="138">
        <v>5441</v>
      </c>
      <c r="EW271" s="138">
        <v>-3100</v>
      </c>
      <c r="EX271" s="138"/>
      <c r="EY271" s="138">
        <v>2000</v>
      </c>
      <c r="EZ271" s="138">
        <v>15281</v>
      </c>
      <c r="FA271" s="138">
        <v>8771</v>
      </c>
      <c r="FB271" s="138">
        <v>6510</v>
      </c>
      <c r="FC271" s="138">
        <v>782</v>
      </c>
      <c r="FD271" s="138">
        <v>17612</v>
      </c>
      <c r="FE271" s="138">
        <v>14133</v>
      </c>
      <c r="FF271" s="138">
        <v>3479</v>
      </c>
      <c r="FG271" s="138">
        <v>777</v>
      </c>
      <c r="FH271" s="138">
        <v>19545</v>
      </c>
      <c r="FI271" s="138">
        <v>14010</v>
      </c>
      <c r="FJ271" s="138">
        <v>5535</v>
      </c>
      <c r="FK271" s="138">
        <v>777</v>
      </c>
      <c r="FL271" s="147">
        <v>8452</v>
      </c>
      <c r="FM271" s="147">
        <v>9384.121424401634</v>
      </c>
      <c r="FO271" s="181">
        <f t="shared" si="12"/>
        <v>422.7142857142857</v>
      </c>
      <c r="FP271" s="179">
        <f t="shared" si="14"/>
        <v>125.02640807875945</v>
      </c>
      <c r="FR271" s="184"/>
      <c r="FV271" s="184">
        <v>10</v>
      </c>
      <c r="FW271" s="2">
        <f t="shared" si="13"/>
        <v>-10</v>
      </c>
    </row>
    <row r="272" spans="1:179" ht="12.75">
      <c r="A272" s="82">
        <v>850</v>
      </c>
      <c r="B272" s="80" t="s">
        <v>262</v>
      </c>
      <c r="C272" s="191">
        <v>2475</v>
      </c>
      <c r="D272" s="146"/>
      <c r="E272" s="150">
        <v>1.0442546583850931</v>
      </c>
      <c r="F272" s="150">
        <v>32</v>
      </c>
      <c r="G272" s="151">
        <v>-1221</v>
      </c>
      <c r="H272" s="152"/>
      <c r="I272" s="152"/>
      <c r="J272" s="152"/>
      <c r="K272" s="150">
        <v>55.3</v>
      </c>
      <c r="L272" s="151">
        <v>409</v>
      </c>
      <c r="M272" s="151">
        <v>25</v>
      </c>
      <c r="N272" s="154">
        <v>11947.474747474747</v>
      </c>
      <c r="O272" s="146">
        <v>6193</v>
      </c>
      <c r="P272" s="139">
        <v>2480</v>
      </c>
      <c r="Q272" s="139">
        <v>13691</v>
      </c>
      <c r="R272" s="139">
        <v>-11211</v>
      </c>
      <c r="S272" s="146">
        <v>6539</v>
      </c>
      <c r="T272" s="139">
        <v>4991</v>
      </c>
      <c r="U272" s="160"/>
      <c r="W272" s="138">
        <v>-44</v>
      </c>
      <c r="X272" s="138">
        <v>57</v>
      </c>
      <c r="Y272" s="139">
        <v>332</v>
      </c>
      <c r="Z272" s="138">
        <v>389</v>
      </c>
      <c r="AC272" s="139">
        <v>-57</v>
      </c>
      <c r="AD272" s="139">
        <v>21</v>
      </c>
      <c r="AG272" s="139">
        <v>-36</v>
      </c>
      <c r="AH272" s="139">
        <v>-620</v>
      </c>
      <c r="AI272" s="139">
        <v>-44</v>
      </c>
      <c r="AJ272" s="176"/>
      <c r="AK272" s="139">
        <v>74</v>
      </c>
      <c r="AL272" s="151">
        <v>-275</v>
      </c>
      <c r="AM272" s="151">
        <v>-120</v>
      </c>
      <c r="AN272" s="146">
        <v>6539</v>
      </c>
      <c r="AO272" s="139">
        <v>5718</v>
      </c>
      <c r="AP272" s="139">
        <v>456</v>
      </c>
      <c r="AQ272" s="139">
        <v>365</v>
      </c>
      <c r="AR272" s="114">
        <v>20.5</v>
      </c>
      <c r="AS272" s="152"/>
      <c r="AT272" s="138">
        <v>242</v>
      </c>
      <c r="AU272" s="191">
        <v>2455</v>
      </c>
      <c r="AV272" s="146"/>
      <c r="AW272" s="150">
        <v>0.8553054662379421</v>
      </c>
      <c r="AX272" s="150">
        <v>28.7</v>
      </c>
      <c r="AY272" s="151">
        <v>-1182</v>
      </c>
      <c r="AZ272" s="152"/>
      <c r="BA272" s="152"/>
      <c r="BB272" s="152"/>
      <c r="BC272" s="150">
        <v>54.3</v>
      </c>
      <c r="BD272" s="151">
        <v>303</v>
      </c>
      <c r="BE272" s="151">
        <v>18</v>
      </c>
      <c r="BF272" s="154">
        <v>6196.33401221996</v>
      </c>
      <c r="BG272" s="146">
        <v>6619</v>
      </c>
      <c r="BH272" s="139">
        <v>2424</v>
      </c>
      <c r="BI272" s="139">
        <v>14396</v>
      </c>
      <c r="BJ272" s="139">
        <v>-11972</v>
      </c>
      <c r="BK272" s="146">
        <v>6747</v>
      </c>
      <c r="BL272" s="146">
        <v>5451</v>
      </c>
      <c r="BM272" s="160"/>
      <c r="BO272" s="138">
        <v>-34</v>
      </c>
      <c r="BP272" s="138">
        <v>40</v>
      </c>
      <c r="BQ272" s="139">
        <v>232</v>
      </c>
      <c r="BR272" s="138">
        <v>413</v>
      </c>
      <c r="BU272" s="139">
        <v>-181</v>
      </c>
      <c r="BV272" s="139">
        <v>21</v>
      </c>
      <c r="BY272" s="138">
        <v>-160</v>
      </c>
      <c r="BZ272" s="139">
        <v>-779</v>
      </c>
      <c r="CA272" s="139">
        <v>39</v>
      </c>
      <c r="CB272" s="176"/>
      <c r="CC272" s="139">
        <v>-98</v>
      </c>
      <c r="CD272" s="151">
        <v>-277</v>
      </c>
      <c r="CE272" s="151">
        <v>-199</v>
      </c>
      <c r="CF272" s="138">
        <v>6747</v>
      </c>
      <c r="CG272" s="139">
        <v>6098</v>
      </c>
      <c r="CH272" s="139">
        <v>279</v>
      </c>
      <c r="CI272" s="139">
        <v>370</v>
      </c>
      <c r="CJ272" s="114">
        <v>20.5</v>
      </c>
      <c r="CK272" s="152"/>
      <c r="CL272" s="138">
        <v>192</v>
      </c>
      <c r="CM272" s="190">
        <v>2466</v>
      </c>
      <c r="CN272" s="146"/>
      <c r="CO272" s="150">
        <v>3.997159090909091</v>
      </c>
      <c r="CP272" s="150">
        <v>26.826029216467465</v>
      </c>
      <c r="CQ272" s="151">
        <v>-865.7745336577453</v>
      </c>
      <c r="CR272" s="152"/>
      <c r="CS272" s="152"/>
      <c r="CT272" s="152"/>
      <c r="CU272" s="150">
        <v>59.273512295851326</v>
      </c>
      <c r="CV272" s="151">
        <v>585.9691808596918</v>
      </c>
      <c r="CW272" s="151">
        <v>34.29291287386216</v>
      </c>
      <c r="CX272" s="154">
        <v>6236.820762368207</v>
      </c>
      <c r="CY272" s="146">
        <v>6506</v>
      </c>
      <c r="CZ272" s="139">
        <v>2778</v>
      </c>
      <c r="DA272" s="139">
        <v>14455</v>
      </c>
      <c r="DB272" s="139">
        <v>-11677</v>
      </c>
      <c r="DC272" s="146">
        <v>7302</v>
      </c>
      <c r="DD272" s="146">
        <v>5733</v>
      </c>
      <c r="DE272" s="160"/>
      <c r="DG272" s="138">
        <v>-25</v>
      </c>
      <c r="DH272" s="138">
        <v>49</v>
      </c>
      <c r="DI272" s="139">
        <v>1382</v>
      </c>
      <c r="DJ272" s="138">
        <v>447</v>
      </c>
      <c r="DM272" s="139">
        <v>935</v>
      </c>
      <c r="DN272" s="139">
        <v>21</v>
      </c>
      <c r="DQ272" s="138">
        <v>956</v>
      </c>
      <c r="DR272" s="139">
        <v>177</v>
      </c>
      <c r="DS272" s="139">
        <v>1058</v>
      </c>
      <c r="DT272" s="176"/>
      <c r="DU272" s="139">
        <v>-115</v>
      </c>
      <c r="DV272" s="151">
        <v>-327</v>
      </c>
      <c r="DW272" s="138">
        <v>1012</v>
      </c>
      <c r="DX272" s="138">
        <v>7302</v>
      </c>
      <c r="DY272" s="146">
        <v>6445</v>
      </c>
      <c r="DZ272" s="196">
        <v>339</v>
      </c>
      <c r="EA272" s="146">
        <v>518</v>
      </c>
      <c r="EB272" s="114">
        <v>20.5</v>
      </c>
      <c r="EC272" s="152"/>
      <c r="ED272" s="138">
        <v>40</v>
      </c>
      <c r="EE272" s="138">
        <v>5817</v>
      </c>
      <c r="EF272" s="138">
        <v>6147</v>
      </c>
      <c r="EG272" s="138">
        <v>6467</v>
      </c>
      <c r="EH272" s="138"/>
      <c r="EI272" s="138"/>
      <c r="EJ272" s="138"/>
      <c r="EK272" s="3">
        <v>-946</v>
      </c>
      <c r="EL272" s="138">
        <v>2</v>
      </c>
      <c r="EM272" s="138">
        <v>868</v>
      </c>
      <c r="EN272" s="3">
        <v>-504</v>
      </c>
      <c r="EO272" s="138">
        <v>14</v>
      </c>
      <c r="EP272" s="138">
        <v>252</v>
      </c>
      <c r="EQ272" s="3">
        <v>-572</v>
      </c>
      <c r="ER272" s="138">
        <v>49</v>
      </c>
      <c r="ES272" s="138">
        <v>477</v>
      </c>
      <c r="ET272" s="163"/>
      <c r="EU272" s="163"/>
      <c r="EV272" s="138"/>
      <c r="EW272" s="138"/>
      <c r="EX272" s="138">
        <v>1000</v>
      </c>
      <c r="EY272" s="138">
        <v>-600</v>
      </c>
      <c r="EZ272" s="138">
        <v>2547</v>
      </c>
      <c r="FA272" s="138">
        <v>1670</v>
      </c>
      <c r="FB272" s="138">
        <v>877</v>
      </c>
      <c r="FC272" s="138">
        <v>198</v>
      </c>
      <c r="FD272" s="138">
        <v>2269</v>
      </c>
      <c r="FE272" s="138">
        <v>1392</v>
      </c>
      <c r="FF272" s="138">
        <v>877</v>
      </c>
      <c r="FG272" s="138">
        <v>198</v>
      </c>
      <c r="FH272" s="138">
        <v>2342</v>
      </c>
      <c r="FI272" s="138">
        <v>2025</v>
      </c>
      <c r="FJ272" s="138">
        <v>317</v>
      </c>
      <c r="FK272" s="138">
        <v>198</v>
      </c>
      <c r="FL272" s="147">
        <v>1556</v>
      </c>
      <c r="FM272" s="147">
        <v>1442.3625254582485</v>
      </c>
      <c r="FO272" s="181">
        <f t="shared" si="12"/>
        <v>314.390243902439</v>
      </c>
      <c r="FP272" s="179">
        <f t="shared" si="14"/>
        <v>127.48996103099716</v>
      </c>
      <c r="FR272" s="184"/>
      <c r="FV272" s="184">
        <v>275</v>
      </c>
      <c r="FW272" s="2">
        <f t="shared" si="13"/>
        <v>-275</v>
      </c>
    </row>
    <row r="273" spans="1:179" ht="12.75">
      <c r="A273" s="82">
        <v>851</v>
      </c>
      <c r="B273" s="80" t="s">
        <v>263</v>
      </c>
      <c r="C273" s="191">
        <v>22545</v>
      </c>
      <c r="D273" s="146"/>
      <c r="E273" s="150">
        <v>1.0294221282593377</v>
      </c>
      <c r="F273" s="150">
        <v>41.2</v>
      </c>
      <c r="G273" s="151">
        <v>-1991</v>
      </c>
      <c r="H273" s="152"/>
      <c r="I273" s="152"/>
      <c r="J273" s="152"/>
      <c r="K273" s="150">
        <v>51.6</v>
      </c>
      <c r="L273" s="151">
        <v>36</v>
      </c>
      <c r="M273" s="151">
        <v>2</v>
      </c>
      <c r="N273" s="154">
        <v>18238.7669106232</v>
      </c>
      <c r="O273" s="146">
        <v>54684</v>
      </c>
      <c r="P273" s="139">
        <v>17248</v>
      </c>
      <c r="Q273" s="139">
        <v>118663</v>
      </c>
      <c r="R273" s="139">
        <v>-101415</v>
      </c>
      <c r="S273" s="146">
        <v>74553</v>
      </c>
      <c r="T273" s="139">
        <v>32481</v>
      </c>
      <c r="U273" s="160"/>
      <c r="W273" s="138">
        <v>-484</v>
      </c>
      <c r="X273" s="138">
        <v>478</v>
      </c>
      <c r="Y273" s="139">
        <v>5613</v>
      </c>
      <c r="Z273" s="138">
        <v>4003</v>
      </c>
      <c r="AC273" s="139">
        <v>1610</v>
      </c>
      <c r="AD273" s="139"/>
      <c r="AE273" s="138">
        <v>34</v>
      </c>
      <c r="AG273" s="139">
        <v>1644</v>
      </c>
      <c r="AH273" s="139">
        <v>11671</v>
      </c>
      <c r="AI273" s="139">
        <v>5490</v>
      </c>
      <c r="AJ273" s="176"/>
      <c r="AK273" s="139">
        <v>174</v>
      </c>
      <c r="AL273" s="151">
        <v>-5279</v>
      </c>
      <c r="AM273" s="151">
        <v>-2907</v>
      </c>
      <c r="AN273" s="146">
        <v>74553</v>
      </c>
      <c r="AO273" s="139">
        <v>65980</v>
      </c>
      <c r="AP273" s="139">
        <v>3113</v>
      </c>
      <c r="AQ273" s="139">
        <v>5460</v>
      </c>
      <c r="AR273" s="114">
        <v>20</v>
      </c>
      <c r="AS273" s="152"/>
      <c r="AT273" s="138">
        <v>164</v>
      </c>
      <c r="AU273" s="191">
        <v>22489</v>
      </c>
      <c r="AV273" s="146"/>
      <c r="AW273" s="150">
        <v>0.5415333028501753</v>
      </c>
      <c r="AX273" s="150">
        <v>43.8</v>
      </c>
      <c r="AY273" s="151">
        <v>-2216</v>
      </c>
      <c r="AZ273" s="152"/>
      <c r="BA273" s="152"/>
      <c r="BB273" s="152"/>
      <c r="BC273" s="150">
        <v>47.9</v>
      </c>
      <c r="BD273" s="151">
        <v>26</v>
      </c>
      <c r="BE273" s="151">
        <v>2</v>
      </c>
      <c r="BF273" s="154">
        <v>6180.621637244875</v>
      </c>
      <c r="BG273" s="146">
        <v>56789</v>
      </c>
      <c r="BH273" s="139">
        <v>18206</v>
      </c>
      <c r="BI273" s="139">
        <v>123541</v>
      </c>
      <c r="BJ273" s="139">
        <v>-105335</v>
      </c>
      <c r="BK273" s="146">
        <v>72729</v>
      </c>
      <c r="BL273" s="146">
        <v>35495</v>
      </c>
      <c r="BM273" s="160"/>
      <c r="BO273" s="138">
        <v>-375</v>
      </c>
      <c r="BP273" s="138">
        <v>151</v>
      </c>
      <c r="BQ273" s="139">
        <v>2665</v>
      </c>
      <c r="BR273" s="138">
        <v>6541</v>
      </c>
      <c r="BU273" s="139">
        <v>-3876</v>
      </c>
      <c r="BV273" s="139"/>
      <c r="BW273" s="138">
        <v>3392</v>
      </c>
      <c r="BY273" s="138">
        <v>-484</v>
      </c>
      <c r="BZ273" s="139">
        <v>11187</v>
      </c>
      <c r="CA273" s="139">
        <v>2189</v>
      </c>
      <c r="CB273" s="176"/>
      <c r="CC273" s="139">
        <v>567</v>
      </c>
      <c r="CD273" s="151">
        <v>-5673</v>
      </c>
      <c r="CE273" s="151">
        <v>-4976</v>
      </c>
      <c r="CF273" s="138">
        <v>72729</v>
      </c>
      <c r="CG273" s="139">
        <v>65171</v>
      </c>
      <c r="CH273" s="139">
        <v>1893</v>
      </c>
      <c r="CI273" s="139">
        <v>5665</v>
      </c>
      <c r="CJ273" s="114">
        <v>20</v>
      </c>
      <c r="CK273" s="152"/>
      <c r="CL273" s="138">
        <v>176</v>
      </c>
      <c r="CM273" s="190">
        <v>22371</v>
      </c>
      <c r="CN273" s="146"/>
      <c r="CO273" s="150">
        <v>1.1670017009432503</v>
      </c>
      <c r="CP273" s="150">
        <v>54.356076262334014</v>
      </c>
      <c r="CQ273" s="151">
        <v>-2421.4384694470523</v>
      </c>
      <c r="CR273" s="152"/>
      <c r="CS273" s="152"/>
      <c r="CT273" s="152"/>
      <c r="CU273" s="150">
        <v>44.61300240120285</v>
      </c>
      <c r="CV273" s="151">
        <v>520.0035760582897</v>
      </c>
      <c r="CW273" s="151">
        <v>27.874539641691886</v>
      </c>
      <c r="CX273" s="154">
        <v>6809.127888784587</v>
      </c>
      <c r="CY273" s="146">
        <v>58187</v>
      </c>
      <c r="CZ273" s="139">
        <v>17033</v>
      </c>
      <c r="DA273" s="139">
        <v>126204</v>
      </c>
      <c r="DB273" s="139">
        <v>-109171</v>
      </c>
      <c r="DC273" s="146">
        <v>77707</v>
      </c>
      <c r="DD273" s="146">
        <v>38327</v>
      </c>
      <c r="DE273" s="160"/>
      <c r="DG273" s="138">
        <v>-288</v>
      </c>
      <c r="DH273" s="138">
        <v>184</v>
      </c>
      <c r="DI273" s="139">
        <v>6759</v>
      </c>
      <c r="DJ273" s="138">
        <v>4934</v>
      </c>
      <c r="DK273" s="138">
        <v>5250</v>
      </c>
      <c r="DM273" s="139">
        <v>7075</v>
      </c>
      <c r="DN273" s="139"/>
      <c r="DO273" s="138">
        <v>5</v>
      </c>
      <c r="DQ273" s="138">
        <v>7080</v>
      </c>
      <c r="DR273" s="139">
        <v>18267</v>
      </c>
      <c r="DS273" s="139">
        <v>11676</v>
      </c>
      <c r="DT273" s="176"/>
      <c r="DU273" s="139">
        <v>-1585</v>
      </c>
      <c r="DV273" s="151">
        <v>-5679</v>
      </c>
      <c r="DW273" s="138">
        <v>-4308</v>
      </c>
      <c r="DX273" s="138">
        <v>77707</v>
      </c>
      <c r="DY273" s="146">
        <v>69587</v>
      </c>
      <c r="DZ273" s="196">
        <v>2106</v>
      </c>
      <c r="EA273" s="146">
        <v>6014</v>
      </c>
      <c r="EB273" s="114">
        <v>20</v>
      </c>
      <c r="EC273" s="152"/>
      <c r="ED273" s="138">
        <v>144</v>
      </c>
      <c r="EE273" s="138">
        <v>48072</v>
      </c>
      <c r="EF273" s="138">
        <v>49771</v>
      </c>
      <c r="EG273" s="138">
        <v>50668</v>
      </c>
      <c r="EH273" s="138"/>
      <c r="EI273" s="138"/>
      <c r="EJ273" s="138"/>
      <c r="EK273" s="3">
        <v>-10447</v>
      </c>
      <c r="EL273" s="138">
        <v>1866</v>
      </c>
      <c r="EM273" s="138">
        <v>184</v>
      </c>
      <c r="EN273" s="3">
        <v>-8889</v>
      </c>
      <c r="EO273" s="138">
        <v>1208</v>
      </c>
      <c r="EP273" s="138">
        <v>516</v>
      </c>
      <c r="EQ273" s="3">
        <v>-19654</v>
      </c>
      <c r="ER273" s="138">
        <v>2848</v>
      </c>
      <c r="ES273" s="138">
        <v>822</v>
      </c>
      <c r="ET273" s="163">
        <v>4000</v>
      </c>
      <c r="EU273" s="163">
        <v>1800</v>
      </c>
      <c r="EV273" s="138">
        <v>8000</v>
      </c>
      <c r="EW273" s="138">
        <v>900</v>
      </c>
      <c r="EX273" s="138">
        <v>8000</v>
      </c>
      <c r="EY273" s="138">
        <v>13725</v>
      </c>
      <c r="EZ273" s="138">
        <v>36312</v>
      </c>
      <c r="FA273" s="138">
        <v>25039</v>
      </c>
      <c r="FB273" s="138">
        <v>11273</v>
      </c>
      <c r="FC273" s="138">
        <v>9463</v>
      </c>
      <c r="FD273" s="138">
        <v>39538</v>
      </c>
      <c r="FE273" s="138">
        <v>27359</v>
      </c>
      <c r="FF273" s="138">
        <v>12179</v>
      </c>
      <c r="FG273" s="138">
        <v>9451</v>
      </c>
      <c r="FH273" s="138">
        <v>55584</v>
      </c>
      <c r="FI273" s="138">
        <v>29559</v>
      </c>
      <c r="FJ273" s="138">
        <v>26025</v>
      </c>
      <c r="FK273" s="138">
        <v>9427</v>
      </c>
      <c r="FL273" s="147">
        <v>4432</v>
      </c>
      <c r="FM273" s="147">
        <v>4540.397527680199</v>
      </c>
      <c r="FO273" s="181">
        <f t="shared" si="12"/>
        <v>3479.35</v>
      </c>
      <c r="FP273" s="179">
        <f t="shared" si="14"/>
        <v>155.5294801305261</v>
      </c>
      <c r="FR273" s="184"/>
      <c r="FV273" s="184">
        <v>5279</v>
      </c>
      <c r="FW273" s="2">
        <f t="shared" si="13"/>
        <v>-5279</v>
      </c>
    </row>
    <row r="274" spans="1:179" ht="12.75">
      <c r="A274" s="82">
        <v>853</v>
      </c>
      <c r="B274" s="80" t="s">
        <v>264</v>
      </c>
      <c r="C274" s="191">
        <v>178630</v>
      </c>
      <c r="D274" s="146"/>
      <c r="E274" s="150">
        <v>0.6739941020642775</v>
      </c>
      <c r="F274" s="150">
        <v>40.8</v>
      </c>
      <c r="G274" s="151">
        <v>-1702</v>
      </c>
      <c r="H274" s="152"/>
      <c r="I274" s="152"/>
      <c r="J274" s="152"/>
      <c r="K274" s="150">
        <v>55.3</v>
      </c>
      <c r="L274" s="151">
        <v>658</v>
      </c>
      <c r="M274" s="151">
        <v>28</v>
      </c>
      <c r="N274" s="154">
        <v>6918.569109332138</v>
      </c>
      <c r="O274" s="146">
        <v>603126</v>
      </c>
      <c r="P274" s="139">
        <v>338075</v>
      </c>
      <c r="Q274" s="139">
        <v>1246198</v>
      </c>
      <c r="R274" s="139">
        <v>-908123</v>
      </c>
      <c r="S274" s="146">
        <v>637973</v>
      </c>
      <c r="T274" s="139">
        <v>324980</v>
      </c>
      <c r="U274" s="160"/>
      <c r="W274" s="138">
        <v>5406</v>
      </c>
      <c r="X274" s="138">
        <v>7152</v>
      </c>
      <c r="Y274" s="139">
        <v>67388</v>
      </c>
      <c r="Z274" s="138">
        <v>54644</v>
      </c>
      <c r="AA274" s="139">
        <v>1855</v>
      </c>
      <c r="AB274" s="139">
        <v>4905</v>
      </c>
      <c r="AC274" s="139">
        <v>9694</v>
      </c>
      <c r="AD274" s="139">
        <v>-8216</v>
      </c>
      <c r="AE274" s="138">
        <v>2060</v>
      </c>
      <c r="AF274" s="138">
        <v>3190</v>
      </c>
      <c r="AG274" s="139">
        <v>6728</v>
      </c>
      <c r="AH274" s="139">
        <v>100409</v>
      </c>
      <c r="AI274" s="139">
        <v>33774</v>
      </c>
      <c r="AJ274" s="176"/>
      <c r="AK274" s="138">
        <v>10075</v>
      </c>
      <c r="AL274" s="151">
        <v>-100000</v>
      </c>
      <c r="AM274" s="151">
        <v>-10782</v>
      </c>
      <c r="AN274" s="146">
        <v>637973</v>
      </c>
      <c r="AO274" s="139">
        <v>519040</v>
      </c>
      <c r="AP274" s="139">
        <v>77998</v>
      </c>
      <c r="AQ274" s="139">
        <v>40935</v>
      </c>
      <c r="AR274" s="114">
        <v>18.75</v>
      </c>
      <c r="AS274" s="152"/>
      <c r="AT274" s="138">
        <v>82</v>
      </c>
      <c r="AU274" s="191">
        <v>180225</v>
      </c>
      <c r="AV274" s="146"/>
      <c r="AW274" s="150">
        <v>0.7303522104192719</v>
      </c>
      <c r="AX274" s="150">
        <v>47.8</v>
      </c>
      <c r="AY274" s="151">
        <v>-2203</v>
      </c>
      <c r="AZ274" s="152"/>
      <c r="BA274" s="152"/>
      <c r="BB274" s="152"/>
      <c r="BC274" s="150">
        <v>52.7</v>
      </c>
      <c r="BD274" s="151">
        <v>650</v>
      </c>
      <c r="BE274" s="151">
        <v>28</v>
      </c>
      <c r="BF274" s="154">
        <v>8494.820363434595</v>
      </c>
      <c r="BG274" s="146">
        <v>577736</v>
      </c>
      <c r="BH274" s="139">
        <v>305628</v>
      </c>
      <c r="BI274" s="139">
        <v>1269842</v>
      </c>
      <c r="BJ274" s="139">
        <v>-964214</v>
      </c>
      <c r="BK274" s="146">
        <v>638776</v>
      </c>
      <c r="BL274" s="146">
        <v>345614</v>
      </c>
      <c r="BM274" s="160"/>
      <c r="BO274" s="138">
        <v>4936</v>
      </c>
      <c r="BP274" s="138">
        <v>20266</v>
      </c>
      <c r="BQ274" s="139">
        <v>45378</v>
      </c>
      <c r="BR274" s="138">
        <v>57867</v>
      </c>
      <c r="BS274" s="139">
        <v>21653</v>
      </c>
      <c r="BT274" s="139"/>
      <c r="BU274" s="139">
        <v>9164</v>
      </c>
      <c r="BV274" s="139">
        <v>1763</v>
      </c>
      <c r="BX274" s="138">
        <v>-2388</v>
      </c>
      <c r="BY274" s="138">
        <v>8539</v>
      </c>
      <c r="BZ274" s="139">
        <v>108948</v>
      </c>
      <c r="CA274" s="139">
        <v>46119</v>
      </c>
      <c r="CB274" s="176"/>
      <c r="CC274" s="138">
        <v>-9959</v>
      </c>
      <c r="CD274" s="151">
        <v>-65000</v>
      </c>
      <c r="CE274" s="151">
        <v>-27145</v>
      </c>
      <c r="CF274" s="138">
        <v>638776</v>
      </c>
      <c r="CG274" s="139">
        <v>527003</v>
      </c>
      <c r="CH274" s="139">
        <v>69237</v>
      </c>
      <c r="CI274" s="139">
        <v>42536</v>
      </c>
      <c r="CJ274" s="114">
        <v>18.75</v>
      </c>
      <c r="CK274" s="152"/>
      <c r="CL274" s="138">
        <v>86</v>
      </c>
      <c r="CM274" s="190">
        <v>182072</v>
      </c>
      <c r="CN274" s="146"/>
      <c r="CO274" s="150">
        <v>0.874801550043531</v>
      </c>
      <c r="CP274" s="150">
        <v>52.534034461170926</v>
      </c>
      <c r="CQ274" s="151">
        <v>-2583.7745507271848</v>
      </c>
      <c r="CR274" s="152"/>
      <c r="CS274" s="152"/>
      <c r="CT274" s="152"/>
      <c r="CU274" s="150">
        <v>50.71155938312832</v>
      </c>
      <c r="CV274" s="151">
        <v>734.9839623885056</v>
      </c>
      <c r="CW274" s="151">
        <v>31.00939913468284</v>
      </c>
      <c r="CX274" s="154">
        <v>8651.220396326727</v>
      </c>
      <c r="CY274" s="146">
        <v>586557</v>
      </c>
      <c r="CZ274" s="139">
        <v>298064</v>
      </c>
      <c r="DA274" s="139">
        <v>1305107</v>
      </c>
      <c r="DB274" s="139">
        <v>-1007043</v>
      </c>
      <c r="DC274" s="146">
        <v>680209</v>
      </c>
      <c r="DD274" s="146">
        <v>344399</v>
      </c>
      <c r="DE274" s="160"/>
      <c r="DG274" s="138">
        <v>6037</v>
      </c>
      <c r="DH274" s="138">
        <v>19064</v>
      </c>
      <c r="DI274" s="139">
        <v>42666</v>
      </c>
      <c r="DJ274" s="138">
        <v>53979</v>
      </c>
      <c r="DK274" s="139">
        <v>30896</v>
      </c>
      <c r="DL274" s="139"/>
      <c r="DM274" s="139">
        <v>19583</v>
      </c>
      <c r="DN274" s="139">
        <v>4329</v>
      </c>
      <c r="DO274" s="138">
        <v>-8000</v>
      </c>
      <c r="DP274" s="138">
        <v>109</v>
      </c>
      <c r="DQ274" s="138">
        <v>16021</v>
      </c>
      <c r="DR274" s="139">
        <v>124969</v>
      </c>
      <c r="DS274" s="139">
        <v>58499</v>
      </c>
      <c r="DT274" s="176"/>
      <c r="DU274" s="138">
        <v>11200</v>
      </c>
      <c r="DV274" s="151">
        <v>-50000</v>
      </c>
      <c r="DW274" s="138">
        <v>3415</v>
      </c>
      <c r="DX274" s="138">
        <v>680209</v>
      </c>
      <c r="DY274" s="146">
        <v>563717</v>
      </c>
      <c r="DZ274" s="196">
        <v>72294</v>
      </c>
      <c r="EA274" s="146">
        <v>44198</v>
      </c>
      <c r="EB274" s="114">
        <v>18.75</v>
      </c>
      <c r="EC274" s="152"/>
      <c r="ED274" s="138">
        <v>178</v>
      </c>
      <c r="EE274" s="138">
        <v>443121</v>
      </c>
      <c r="EF274" s="138">
        <v>496059</v>
      </c>
      <c r="EG274" s="138">
        <v>514179</v>
      </c>
      <c r="EH274" s="138"/>
      <c r="EI274" s="138"/>
      <c r="EJ274" s="138"/>
      <c r="EK274" s="3">
        <v>-112859</v>
      </c>
      <c r="EL274" s="138">
        <v>4335</v>
      </c>
      <c r="EM274" s="138">
        <v>63968</v>
      </c>
      <c r="EN274" s="3">
        <v>-111025</v>
      </c>
      <c r="EO274" s="138">
        <v>1079</v>
      </c>
      <c r="EP274" s="138">
        <v>36682</v>
      </c>
      <c r="EQ274" s="3">
        <v>-124546</v>
      </c>
      <c r="ER274" s="138">
        <v>1896</v>
      </c>
      <c r="ES274" s="138">
        <v>67566</v>
      </c>
      <c r="ET274" s="163">
        <v>100000</v>
      </c>
      <c r="EU274" s="163">
        <v>-18151</v>
      </c>
      <c r="EV274" s="138">
        <v>120000</v>
      </c>
      <c r="EW274" s="138">
        <v>35313</v>
      </c>
      <c r="EX274" s="138">
        <v>90300</v>
      </c>
      <c r="EY274" s="138">
        <v>34997</v>
      </c>
      <c r="EZ274" s="138">
        <v>333398</v>
      </c>
      <c r="FA274" s="138">
        <v>199963</v>
      </c>
      <c r="FB274" s="138">
        <v>133435</v>
      </c>
      <c r="FC274" s="138">
        <v>141130</v>
      </c>
      <c r="FD274" s="138">
        <v>423713</v>
      </c>
      <c r="FE274" s="138">
        <v>269963</v>
      </c>
      <c r="FF274" s="138">
        <v>153750</v>
      </c>
      <c r="FG274" s="138">
        <v>208429</v>
      </c>
      <c r="FH274" s="138">
        <v>499008</v>
      </c>
      <c r="FI274" s="138">
        <v>320263</v>
      </c>
      <c r="FJ274" s="138">
        <v>178745</v>
      </c>
      <c r="FK274" s="138">
        <v>284835</v>
      </c>
      <c r="FL274" s="147">
        <v>6277</v>
      </c>
      <c r="FM274" s="147">
        <v>6571.191566097933</v>
      </c>
      <c r="FO274" s="181">
        <f t="shared" si="12"/>
        <v>30064.906666666666</v>
      </c>
      <c r="FP274" s="179">
        <f t="shared" si="14"/>
        <v>165.12647011438696</v>
      </c>
      <c r="FR274" s="184"/>
      <c r="FV274" s="184">
        <v>100000</v>
      </c>
      <c r="FW274" s="2">
        <f t="shared" si="13"/>
        <v>-100000</v>
      </c>
    </row>
    <row r="275" spans="1:179" ht="12.75">
      <c r="A275" s="82">
        <v>857</v>
      </c>
      <c r="B275" s="80" t="s">
        <v>266</v>
      </c>
      <c r="C275" s="191">
        <v>2820</v>
      </c>
      <c r="D275" s="146"/>
      <c r="E275" s="150">
        <v>2.6355311355311355</v>
      </c>
      <c r="F275" s="150">
        <v>23</v>
      </c>
      <c r="G275" s="151">
        <v>249</v>
      </c>
      <c r="H275" s="152"/>
      <c r="I275" s="152"/>
      <c r="J275" s="152"/>
      <c r="K275" s="150">
        <v>81</v>
      </c>
      <c r="L275" s="151">
        <v>1259</v>
      </c>
      <c r="M275" s="151">
        <v>63</v>
      </c>
      <c r="N275" s="154">
        <v>8118.4397163120575</v>
      </c>
      <c r="O275" s="146">
        <v>7144</v>
      </c>
      <c r="P275" s="139">
        <v>3081</v>
      </c>
      <c r="Q275" s="139">
        <v>18106</v>
      </c>
      <c r="R275" s="139">
        <v>-15025</v>
      </c>
      <c r="S275" s="146">
        <v>7067</v>
      </c>
      <c r="T275" s="139">
        <v>8740</v>
      </c>
      <c r="U275" s="160"/>
      <c r="W275" s="138">
        <v>17</v>
      </c>
      <c r="X275" s="138">
        <v>194</v>
      </c>
      <c r="Y275" s="139">
        <v>993</v>
      </c>
      <c r="Z275" s="138">
        <v>847</v>
      </c>
      <c r="AC275" s="139">
        <v>146</v>
      </c>
      <c r="AD275" s="139">
        <v>-25</v>
      </c>
      <c r="AE275" s="139">
        <v>100</v>
      </c>
      <c r="AF275" s="139"/>
      <c r="AG275" s="139">
        <v>221</v>
      </c>
      <c r="AH275" s="139">
        <v>5051</v>
      </c>
      <c r="AI275" s="139">
        <v>914</v>
      </c>
      <c r="AJ275" s="176"/>
      <c r="AK275" s="139">
        <v>-573</v>
      </c>
      <c r="AL275" s="151">
        <v>-100</v>
      </c>
      <c r="AM275" s="151">
        <v>-671</v>
      </c>
      <c r="AN275" s="146">
        <v>7067</v>
      </c>
      <c r="AO275" s="139">
        <v>5699</v>
      </c>
      <c r="AP275" s="139">
        <v>779</v>
      </c>
      <c r="AQ275" s="139">
        <v>589</v>
      </c>
      <c r="AR275" s="114">
        <v>19.75</v>
      </c>
      <c r="AS275" s="152"/>
      <c r="AT275" s="138">
        <v>96</v>
      </c>
      <c r="AU275" s="191">
        <v>2795</v>
      </c>
      <c r="AV275" s="146"/>
      <c r="AW275" s="150">
        <v>1.1866295264623956</v>
      </c>
      <c r="AX275" s="150">
        <v>22.1</v>
      </c>
      <c r="AY275" s="151">
        <v>-364</v>
      </c>
      <c r="AZ275" s="152"/>
      <c r="BA275" s="152"/>
      <c r="BB275" s="152"/>
      <c r="BC275" s="150">
        <v>80.7</v>
      </c>
      <c r="BD275" s="151">
        <v>871</v>
      </c>
      <c r="BE275" s="151">
        <v>41</v>
      </c>
      <c r="BF275" s="154">
        <v>7705.545617173524</v>
      </c>
      <c r="BG275" s="146">
        <v>7503</v>
      </c>
      <c r="BH275" s="139">
        <v>2824</v>
      </c>
      <c r="BI275" s="139">
        <v>19038</v>
      </c>
      <c r="BJ275" s="139">
        <v>-16214</v>
      </c>
      <c r="BK275" s="146">
        <v>6931</v>
      </c>
      <c r="BL275" s="146">
        <v>9471</v>
      </c>
      <c r="BM275" s="160"/>
      <c r="BO275" s="138">
        <v>-12</v>
      </c>
      <c r="BP275" s="138">
        <v>191</v>
      </c>
      <c r="BQ275" s="139">
        <v>367</v>
      </c>
      <c r="BR275" s="138">
        <v>1018</v>
      </c>
      <c r="BU275" s="139">
        <v>-651</v>
      </c>
      <c r="BV275" s="139">
        <v>77</v>
      </c>
      <c r="BW275" s="139">
        <v>128</v>
      </c>
      <c r="BX275" s="139"/>
      <c r="BY275" s="138">
        <v>-446</v>
      </c>
      <c r="BZ275" s="139">
        <v>4305</v>
      </c>
      <c r="CA275" s="139">
        <v>295</v>
      </c>
      <c r="CB275" s="176"/>
      <c r="CC275" s="139">
        <v>698</v>
      </c>
      <c r="CD275" s="151">
        <v>-300</v>
      </c>
      <c r="CE275" s="151">
        <v>-1619</v>
      </c>
      <c r="CF275" s="138">
        <v>6931</v>
      </c>
      <c r="CG275" s="139">
        <v>5849</v>
      </c>
      <c r="CH275" s="139">
        <v>472</v>
      </c>
      <c r="CI275" s="139">
        <v>610</v>
      </c>
      <c r="CJ275" s="114">
        <v>19.75</v>
      </c>
      <c r="CK275" s="152"/>
      <c r="CL275" s="138">
        <v>168</v>
      </c>
      <c r="CM275" s="190">
        <v>2802</v>
      </c>
      <c r="CN275" s="146"/>
      <c r="CO275" s="150">
        <v>3.379876796714579</v>
      </c>
      <c r="CP275" s="150">
        <v>34.31879066207424</v>
      </c>
      <c r="CQ275" s="151">
        <v>-1248.0371163454674</v>
      </c>
      <c r="CR275" s="152"/>
      <c r="CS275" s="152"/>
      <c r="CT275" s="152"/>
      <c r="CU275" s="150">
        <v>71.42129992169147</v>
      </c>
      <c r="CV275" s="151">
        <v>986.0813704496788</v>
      </c>
      <c r="CW275" s="151">
        <v>42.31329193588991</v>
      </c>
      <c r="CX275" s="154">
        <v>8506.067094932192</v>
      </c>
      <c r="CY275" s="146">
        <v>7468</v>
      </c>
      <c r="CZ275" s="139">
        <v>3367</v>
      </c>
      <c r="DA275" s="139">
        <v>19499</v>
      </c>
      <c r="DB275" s="139">
        <v>-16132</v>
      </c>
      <c r="DC275" s="146">
        <v>7442</v>
      </c>
      <c r="DD275" s="146">
        <v>10095</v>
      </c>
      <c r="DE275" s="160"/>
      <c r="DG275" s="138">
        <v>-39</v>
      </c>
      <c r="DH275" s="138">
        <v>193</v>
      </c>
      <c r="DI275" s="139">
        <v>1559</v>
      </c>
      <c r="DJ275" s="138">
        <v>1107</v>
      </c>
      <c r="DM275" s="139">
        <v>452</v>
      </c>
      <c r="DN275" s="139">
        <v>77</v>
      </c>
      <c r="DO275" s="139">
        <v>228</v>
      </c>
      <c r="DP275" s="139"/>
      <c r="DQ275" s="138">
        <v>757</v>
      </c>
      <c r="DR275" s="139">
        <v>5062</v>
      </c>
      <c r="DS275" s="139">
        <v>1530</v>
      </c>
      <c r="DT275" s="176"/>
      <c r="DU275" s="139">
        <v>-119</v>
      </c>
      <c r="DV275" s="151">
        <v>-400</v>
      </c>
      <c r="DW275" s="138">
        <v>-2069</v>
      </c>
      <c r="DX275" s="138">
        <v>7442</v>
      </c>
      <c r="DY275" s="146">
        <v>6139</v>
      </c>
      <c r="DZ275" s="196">
        <v>623</v>
      </c>
      <c r="EA275" s="146">
        <v>680</v>
      </c>
      <c r="EB275" s="114">
        <v>20</v>
      </c>
      <c r="EC275" s="152"/>
      <c r="ED275" s="138">
        <v>44</v>
      </c>
      <c r="EE275" s="138">
        <v>8761</v>
      </c>
      <c r="EF275" s="138">
        <v>9216</v>
      </c>
      <c r="EG275" s="138">
        <v>9555</v>
      </c>
      <c r="EH275" s="138"/>
      <c r="EI275" s="138"/>
      <c r="EJ275" s="138"/>
      <c r="EK275" s="3">
        <v>-2359</v>
      </c>
      <c r="EL275" s="138">
        <v>683</v>
      </c>
      <c r="EM275" s="138">
        <v>91</v>
      </c>
      <c r="EN275" s="3">
        <v>-2069</v>
      </c>
      <c r="EO275" s="138">
        <v>80</v>
      </c>
      <c r="EP275" s="138">
        <v>75</v>
      </c>
      <c r="EQ275" s="3">
        <v>-3786</v>
      </c>
      <c r="ER275" s="138">
        <v>43</v>
      </c>
      <c r="ES275" s="138">
        <v>144</v>
      </c>
      <c r="ET275" s="163">
        <v>1000</v>
      </c>
      <c r="EU275" s="163"/>
      <c r="EV275" s="138">
        <v>750</v>
      </c>
      <c r="EW275" s="138"/>
      <c r="EX275" s="138">
        <v>2575</v>
      </c>
      <c r="EY275" s="138"/>
      <c r="EZ275" s="138">
        <v>1900</v>
      </c>
      <c r="FA275" s="138">
        <v>1700</v>
      </c>
      <c r="FB275" s="138">
        <v>200</v>
      </c>
      <c r="FC275" s="138">
        <v>111</v>
      </c>
      <c r="FD275" s="138">
        <v>2650</v>
      </c>
      <c r="FE275" s="138">
        <v>2350</v>
      </c>
      <c r="FF275" s="138">
        <v>300</v>
      </c>
      <c r="FG275" s="138">
        <v>111</v>
      </c>
      <c r="FH275" s="138">
        <v>5225</v>
      </c>
      <c r="FI275" s="138">
        <v>4675</v>
      </c>
      <c r="FJ275" s="138">
        <v>550</v>
      </c>
      <c r="FK275" s="138">
        <v>111</v>
      </c>
      <c r="FL275" s="147">
        <v>901</v>
      </c>
      <c r="FM275" s="147">
        <v>1402.8622540250449</v>
      </c>
      <c r="FO275" s="181">
        <f t="shared" si="12"/>
        <v>306.95</v>
      </c>
      <c r="FP275" s="179">
        <f t="shared" si="14"/>
        <v>109.54675231977158</v>
      </c>
      <c r="FR275" s="184"/>
      <c r="FV275" s="184">
        <v>100</v>
      </c>
      <c r="FW275" s="2">
        <f t="shared" si="13"/>
        <v>-100</v>
      </c>
    </row>
    <row r="276" spans="1:179" ht="12.75">
      <c r="A276" s="82">
        <v>858</v>
      </c>
      <c r="B276" s="80" t="s">
        <v>267</v>
      </c>
      <c r="C276" s="191">
        <v>37667</v>
      </c>
      <c r="D276" s="146"/>
      <c r="E276" s="150">
        <v>84.5657894736842</v>
      </c>
      <c r="F276" s="150">
        <v>28.9</v>
      </c>
      <c r="G276" s="151">
        <v>-1198</v>
      </c>
      <c r="H276" s="152"/>
      <c r="I276" s="152"/>
      <c r="J276" s="152"/>
      <c r="K276" s="150">
        <v>74.6</v>
      </c>
      <c r="L276" s="151">
        <v>68</v>
      </c>
      <c r="M276" s="151">
        <v>4</v>
      </c>
      <c r="N276" s="154">
        <v>5235.272254227839</v>
      </c>
      <c r="O276" s="146">
        <v>91596</v>
      </c>
      <c r="P276" s="139">
        <v>36802</v>
      </c>
      <c r="Q276" s="139">
        <v>194376</v>
      </c>
      <c r="R276" s="139">
        <v>-157574</v>
      </c>
      <c r="S276" s="146">
        <v>145878</v>
      </c>
      <c r="T276" s="139">
        <v>24225</v>
      </c>
      <c r="U276" s="160"/>
      <c r="W276" s="138">
        <v>-125</v>
      </c>
      <c r="X276" s="138">
        <v>305</v>
      </c>
      <c r="Y276" s="139">
        <v>12709</v>
      </c>
      <c r="Z276" s="138">
        <v>10381</v>
      </c>
      <c r="AA276" s="139"/>
      <c r="AC276" s="139">
        <v>2328</v>
      </c>
      <c r="AD276" s="138">
        <v>277</v>
      </c>
      <c r="AF276" s="138">
        <v>-97</v>
      </c>
      <c r="AG276" s="139">
        <v>2508</v>
      </c>
      <c r="AH276" s="139">
        <v>51964</v>
      </c>
      <c r="AI276" s="139">
        <v>5555</v>
      </c>
      <c r="AJ276" s="176"/>
      <c r="AK276" s="139">
        <v>-3451</v>
      </c>
      <c r="AL276" s="151">
        <v>-7</v>
      </c>
      <c r="AM276" s="151">
        <v>-6123</v>
      </c>
      <c r="AN276" s="146">
        <v>145878</v>
      </c>
      <c r="AO276" s="139">
        <v>131818</v>
      </c>
      <c r="AP276" s="139">
        <v>8037</v>
      </c>
      <c r="AQ276" s="139">
        <v>6023</v>
      </c>
      <c r="AR276" s="114">
        <v>18.25</v>
      </c>
      <c r="AS276" s="152"/>
      <c r="AT276" s="138">
        <v>106</v>
      </c>
      <c r="AU276" s="191">
        <v>37936</v>
      </c>
      <c r="AV276" s="146"/>
      <c r="AW276" s="150">
        <v>48.029411764705884</v>
      </c>
      <c r="AX276" s="150">
        <v>29.4</v>
      </c>
      <c r="AY276" s="151">
        <v>-1384</v>
      </c>
      <c r="AZ276" s="152"/>
      <c r="BA276" s="152"/>
      <c r="BB276" s="152"/>
      <c r="BC276" s="150">
        <v>73.5</v>
      </c>
      <c r="BD276" s="151">
        <v>5</v>
      </c>
      <c r="BE276" s="151">
        <v>0</v>
      </c>
      <c r="BF276" s="154">
        <v>5793.019822859553</v>
      </c>
      <c r="BG276" s="146">
        <v>96398</v>
      </c>
      <c r="BH276" s="139">
        <v>39824</v>
      </c>
      <c r="BI276" s="139">
        <v>205708</v>
      </c>
      <c r="BJ276" s="139">
        <v>-165884</v>
      </c>
      <c r="BK276" s="146">
        <v>148165</v>
      </c>
      <c r="BL276" s="146">
        <v>23562</v>
      </c>
      <c r="BM276" s="160"/>
      <c r="BO276" s="138">
        <v>95</v>
      </c>
      <c r="BP276" s="138">
        <v>465</v>
      </c>
      <c r="BQ276" s="139">
        <v>6403</v>
      </c>
      <c r="BR276" s="138">
        <v>10811</v>
      </c>
      <c r="BS276" s="139"/>
      <c r="BU276" s="139">
        <v>-4408</v>
      </c>
      <c r="BV276" s="138">
        <v>277</v>
      </c>
      <c r="BY276" s="138">
        <v>-4131</v>
      </c>
      <c r="BZ276" s="139">
        <v>47834</v>
      </c>
      <c r="CA276" s="139">
        <v>614</v>
      </c>
      <c r="CB276" s="176"/>
      <c r="CC276" s="139">
        <v>2646</v>
      </c>
      <c r="CD276" s="151">
        <v>-7</v>
      </c>
      <c r="CE276" s="151">
        <v>-7131</v>
      </c>
      <c r="CF276" s="138">
        <v>148165</v>
      </c>
      <c r="CG276" s="139">
        <v>135876</v>
      </c>
      <c r="CH276" s="139">
        <v>6116</v>
      </c>
      <c r="CI276" s="139">
        <v>6173</v>
      </c>
      <c r="CJ276" s="114">
        <v>18.25</v>
      </c>
      <c r="CK276" s="152"/>
      <c r="CL276" s="138">
        <v>142</v>
      </c>
      <c r="CM276" s="190">
        <v>38125</v>
      </c>
      <c r="CN276" s="146"/>
      <c r="CO276" s="150">
        <v>86.578231292517</v>
      </c>
      <c r="CP276" s="150">
        <v>29.36972350024568</v>
      </c>
      <c r="CQ276" s="151">
        <v>-1429.5344262295082</v>
      </c>
      <c r="CR276" s="152"/>
      <c r="CS276" s="152"/>
      <c r="CT276" s="152"/>
      <c r="CU276" s="150">
        <v>72.57195252814837</v>
      </c>
      <c r="CV276" s="151">
        <v>75.27868852459017</v>
      </c>
      <c r="CW276" s="151">
        <v>4.630710199895676</v>
      </c>
      <c r="CX276" s="154">
        <v>5933.586885245902</v>
      </c>
      <c r="CY276" s="146">
        <v>97117</v>
      </c>
      <c r="CZ276" s="139">
        <v>36408</v>
      </c>
      <c r="DA276" s="139">
        <v>211639</v>
      </c>
      <c r="DB276" s="139">
        <v>-175231</v>
      </c>
      <c r="DC276" s="146">
        <v>164692</v>
      </c>
      <c r="DD276" s="146">
        <v>22770</v>
      </c>
      <c r="DE276" s="160"/>
      <c r="DG276" s="138">
        <v>109</v>
      </c>
      <c r="DH276" s="138">
        <v>247</v>
      </c>
      <c r="DI276" s="139">
        <v>12587</v>
      </c>
      <c r="DJ276" s="138">
        <v>11174</v>
      </c>
      <c r="DK276" s="139"/>
      <c r="DM276" s="139">
        <v>1413</v>
      </c>
      <c r="DN276" s="138">
        <v>281</v>
      </c>
      <c r="DP276" s="138">
        <v>-702</v>
      </c>
      <c r="DQ276" s="138">
        <v>992</v>
      </c>
      <c r="DR276" s="139">
        <v>48826</v>
      </c>
      <c r="DS276" s="139">
        <v>9845</v>
      </c>
      <c r="DT276" s="176"/>
      <c r="DU276" s="139">
        <v>1107</v>
      </c>
      <c r="DV276" s="151">
        <v>-7</v>
      </c>
      <c r="DW276" s="138">
        <v>-1027</v>
      </c>
      <c r="DX276" s="138">
        <v>164692</v>
      </c>
      <c r="DY276" s="146">
        <v>152189</v>
      </c>
      <c r="DZ276" s="196">
        <v>6070</v>
      </c>
      <c r="EA276" s="146">
        <v>6433</v>
      </c>
      <c r="EB276" s="114">
        <v>19.25</v>
      </c>
      <c r="EC276" s="152"/>
      <c r="ED276" s="138">
        <v>122</v>
      </c>
      <c r="EE276" s="138">
        <v>76706</v>
      </c>
      <c r="EF276" s="138">
        <v>82870</v>
      </c>
      <c r="EG276" s="138">
        <v>86771</v>
      </c>
      <c r="EH276" s="138"/>
      <c r="EI276" s="138"/>
      <c r="EJ276" s="138"/>
      <c r="EK276" s="3">
        <v>-20422</v>
      </c>
      <c r="EL276" s="138">
        <v>1201</v>
      </c>
      <c r="EM276" s="138">
        <v>7543</v>
      </c>
      <c r="EN276" s="3">
        <v>-13908</v>
      </c>
      <c r="EO276" s="138">
        <v>210</v>
      </c>
      <c r="EP276" s="138">
        <v>5953</v>
      </c>
      <c r="EQ276" s="3">
        <v>-14194</v>
      </c>
      <c r="ER276" s="138">
        <v>299</v>
      </c>
      <c r="ES276" s="138">
        <v>3023</v>
      </c>
      <c r="ET276" s="163"/>
      <c r="EU276" s="163">
        <v>7696</v>
      </c>
      <c r="EV276" s="138"/>
      <c r="EW276" s="138">
        <v>1655</v>
      </c>
      <c r="EX276" s="138">
        <v>15000</v>
      </c>
      <c r="EY276" s="138">
        <v>-13678</v>
      </c>
      <c r="EZ276" s="138">
        <v>31078</v>
      </c>
      <c r="FA276" s="138">
        <v>13</v>
      </c>
      <c r="FB276" s="138">
        <v>29198</v>
      </c>
      <c r="FC276" s="138">
        <v>5524</v>
      </c>
      <c r="FD276" s="138">
        <v>32726</v>
      </c>
      <c r="FE276" s="138">
        <v>7</v>
      </c>
      <c r="FF276" s="138">
        <v>32719</v>
      </c>
      <c r="FG276" s="138">
        <v>5438</v>
      </c>
      <c r="FH276" s="138">
        <v>34042</v>
      </c>
      <c r="FI276" s="138">
        <v>15000</v>
      </c>
      <c r="FJ276" s="138">
        <v>19042</v>
      </c>
      <c r="FK276" s="138">
        <v>5579</v>
      </c>
      <c r="FL276" s="147">
        <v>1822</v>
      </c>
      <c r="FM276" s="147">
        <v>2200.3901307465203</v>
      </c>
      <c r="FO276" s="181">
        <f t="shared" si="12"/>
        <v>7905.922077922078</v>
      </c>
      <c r="FP276" s="179">
        <f t="shared" si="14"/>
        <v>207.3684479454971</v>
      </c>
      <c r="FR276" s="184"/>
      <c r="FV276" s="184">
        <v>7</v>
      </c>
      <c r="FW276" s="2">
        <f t="shared" si="13"/>
        <v>-7</v>
      </c>
    </row>
    <row r="277" spans="1:179" ht="12.75">
      <c r="A277" s="82">
        <v>859</v>
      </c>
      <c r="B277" s="80" t="s">
        <v>268</v>
      </c>
      <c r="C277" s="191">
        <v>6462</v>
      </c>
      <c r="D277" s="146"/>
      <c r="E277" s="150">
        <v>0.6777745580991017</v>
      </c>
      <c r="F277" s="150">
        <v>61.8</v>
      </c>
      <c r="G277" s="151">
        <v>-2969</v>
      </c>
      <c r="H277" s="152"/>
      <c r="I277" s="152"/>
      <c r="J277" s="152"/>
      <c r="K277" s="150">
        <v>41.5</v>
      </c>
      <c r="L277" s="151">
        <v>70</v>
      </c>
      <c r="M277" s="151">
        <v>4</v>
      </c>
      <c r="N277" s="154">
        <v>5924.636335499846</v>
      </c>
      <c r="O277" s="146">
        <v>15193</v>
      </c>
      <c r="P277" s="139">
        <v>3686</v>
      </c>
      <c r="Q277" s="139">
        <v>33512</v>
      </c>
      <c r="R277" s="139">
        <v>-29826</v>
      </c>
      <c r="S277" s="146">
        <v>15892</v>
      </c>
      <c r="T277" s="139">
        <v>16456</v>
      </c>
      <c r="U277" s="160"/>
      <c r="W277" s="138">
        <v>-436</v>
      </c>
      <c r="X277" s="138">
        <v>-7</v>
      </c>
      <c r="Y277" s="139">
        <v>2079</v>
      </c>
      <c r="Z277" s="138">
        <v>1397</v>
      </c>
      <c r="AC277" s="139">
        <v>682</v>
      </c>
      <c r="AD277" s="139">
        <v>9</v>
      </c>
      <c r="AE277" s="139"/>
      <c r="AG277" s="139">
        <v>691</v>
      </c>
      <c r="AH277" s="139">
        <v>4615</v>
      </c>
      <c r="AI277" s="139">
        <v>1876</v>
      </c>
      <c r="AJ277" s="176"/>
      <c r="AK277" s="139">
        <v>904</v>
      </c>
      <c r="AL277" s="151">
        <v>-3191</v>
      </c>
      <c r="AM277" s="151">
        <v>656</v>
      </c>
      <c r="AN277" s="146">
        <v>15892</v>
      </c>
      <c r="AO277" s="139">
        <v>14714</v>
      </c>
      <c r="AP277" s="139">
        <v>473</v>
      </c>
      <c r="AQ277" s="139">
        <v>705</v>
      </c>
      <c r="AR277" s="114">
        <v>20.5</v>
      </c>
      <c r="AS277" s="152"/>
      <c r="AT277" s="138">
        <v>112</v>
      </c>
      <c r="AU277" s="191">
        <v>6613</v>
      </c>
      <c r="AV277" s="146"/>
      <c r="AW277" s="150">
        <v>0.6526924466931695</v>
      </c>
      <c r="AX277" s="150">
        <v>60.5</v>
      </c>
      <c r="AY277" s="151">
        <v>-3018</v>
      </c>
      <c r="AZ277" s="152"/>
      <c r="BA277" s="152"/>
      <c r="BB277" s="152"/>
      <c r="BC277" s="150">
        <v>41.1</v>
      </c>
      <c r="BD277" s="151">
        <v>32</v>
      </c>
      <c r="BE277" s="151">
        <v>2</v>
      </c>
      <c r="BF277" s="154">
        <v>6180.099803417511</v>
      </c>
      <c r="BG277" s="146">
        <v>15906</v>
      </c>
      <c r="BH277" s="139">
        <v>3983</v>
      </c>
      <c r="BI277" s="139">
        <v>35722</v>
      </c>
      <c r="BJ277" s="139">
        <v>-31739</v>
      </c>
      <c r="BK277" s="146">
        <v>16663</v>
      </c>
      <c r="BL277" s="146">
        <v>16821</v>
      </c>
      <c r="BM277" s="160"/>
      <c r="BO277" s="138">
        <v>-384</v>
      </c>
      <c r="BP277" s="138">
        <v>59</v>
      </c>
      <c r="BQ277" s="139">
        <v>1420</v>
      </c>
      <c r="BR277" s="138">
        <v>1416</v>
      </c>
      <c r="BU277" s="139">
        <v>4</v>
      </c>
      <c r="BV277" s="139">
        <v>9</v>
      </c>
      <c r="BW277" s="139"/>
      <c r="BY277" s="138">
        <v>13</v>
      </c>
      <c r="BZ277" s="139">
        <v>4629</v>
      </c>
      <c r="CA277" s="139">
        <v>1124</v>
      </c>
      <c r="CB277" s="176"/>
      <c r="CC277" s="139">
        <v>133</v>
      </c>
      <c r="CD277" s="151">
        <v>-2381</v>
      </c>
      <c r="CE277" s="151">
        <v>-743</v>
      </c>
      <c r="CF277" s="138">
        <v>16663</v>
      </c>
      <c r="CG277" s="139">
        <v>15594</v>
      </c>
      <c r="CH277" s="139">
        <v>354</v>
      </c>
      <c r="CI277" s="139">
        <v>715</v>
      </c>
      <c r="CJ277" s="114">
        <v>20.5</v>
      </c>
      <c r="CK277" s="152"/>
      <c r="CL277" s="138">
        <v>106</v>
      </c>
      <c r="CM277" s="190">
        <v>6642</v>
      </c>
      <c r="CN277" s="146"/>
      <c r="CO277" s="150">
        <v>0.7465041233416996</v>
      </c>
      <c r="CP277" s="150">
        <v>59.071708221718524</v>
      </c>
      <c r="CQ277" s="151">
        <v>-2953.7789822342666</v>
      </c>
      <c r="CR277" s="152"/>
      <c r="CS277" s="152"/>
      <c r="CT277" s="152"/>
      <c r="CU277" s="150">
        <v>41.330105745954896</v>
      </c>
      <c r="CV277" s="151">
        <v>194.6702800361337</v>
      </c>
      <c r="CW277" s="151">
        <v>11.4087315976503</v>
      </c>
      <c r="CX277" s="154">
        <v>6228.093947606142</v>
      </c>
      <c r="CY277" s="146">
        <v>16331</v>
      </c>
      <c r="CZ277" s="139">
        <v>3822</v>
      </c>
      <c r="DA277" s="139">
        <v>37030</v>
      </c>
      <c r="DB277" s="139">
        <v>-33208</v>
      </c>
      <c r="DC277" s="146">
        <v>17724</v>
      </c>
      <c r="DD277" s="146">
        <v>17278</v>
      </c>
      <c r="DE277" s="160"/>
      <c r="DG277" s="138">
        <v>-279</v>
      </c>
      <c r="DH277" s="138">
        <v>289</v>
      </c>
      <c r="DI277" s="139">
        <v>1804</v>
      </c>
      <c r="DJ277" s="138">
        <v>1484</v>
      </c>
      <c r="DM277" s="139">
        <v>320</v>
      </c>
      <c r="DN277" s="139">
        <v>9</v>
      </c>
      <c r="DO277" s="139"/>
      <c r="DQ277" s="138">
        <v>329</v>
      </c>
      <c r="DR277" s="139">
        <v>4958</v>
      </c>
      <c r="DS277" s="139">
        <v>1761</v>
      </c>
      <c r="DT277" s="176"/>
      <c r="DU277" s="139">
        <v>463</v>
      </c>
      <c r="DV277" s="151">
        <v>-2510</v>
      </c>
      <c r="DW277" s="138">
        <v>322</v>
      </c>
      <c r="DX277" s="138">
        <v>17724</v>
      </c>
      <c r="DY277" s="146">
        <v>16520</v>
      </c>
      <c r="DZ277" s="196">
        <v>467</v>
      </c>
      <c r="EA277" s="146">
        <v>737</v>
      </c>
      <c r="EB277" s="114">
        <v>20.5</v>
      </c>
      <c r="EC277" s="152"/>
      <c r="ED277" s="138">
        <v>160</v>
      </c>
      <c r="EE277" s="138">
        <v>14404</v>
      </c>
      <c r="EF277" s="138">
        <v>15579</v>
      </c>
      <c r="EG277" s="138">
        <v>16001</v>
      </c>
      <c r="EH277" s="138"/>
      <c r="EI277" s="138"/>
      <c r="EJ277" s="138"/>
      <c r="EK277" s="3">
        <v>-1501</v>
      </c>
      <c r="EL277" s="138"/>
      <c r="EM277" s="138">
        <v>281</v>
      </c>
      <c r="EN277" s="3">
        <v>-2367</v>
      </c>
      <c r="EO277" s="138">
        <v>168</v>
      </c>
      <c r="EP277" s="138">
        <v>332</v>
      </c>
      <c r="EQ277" s="3">
        <v>-1529</v>
      </c>
      <c r="ER277" s="138">
        <v>20</v>
      </c>
      <c r="ES277" s="138">
        <v>70</v>
      </c>
      <c r="ET277" s="163"/>
      <c r="EU277" s="163"/>
      <c r="EV277" s="138">
        <v>2300</v>
      </c>
      <c r="EW277" s="138"/>
      <c r="EX277" s="138">
        <v>2900</v>
      </c>
      <c r="EY277" s="138"/>
      <c r="EZ277" s="138">
        <v>18207</v>
      </c>
      <c r="FA277" s="138">
        <v>15903</v>
      </c>
      <c r="FB277" s="138">
        <v>2304</v>
      </c>
      <c r="FC277" s="138">
        <v>15</v>
      </c>
      <c r="FD277" s="138">
        <v>18127</v>
      </c>
      <c r="FE277" s="138">
        <v>15617</v>
      </c>
      <c r="FF277" s="138">
        <v>2510</v>
      </c>
      <c r="FG277" s="138">
        <v>13</v>
      </c>
      <c r="FH277" s="138">
        <v>18517</v>
      </c>
      <c r="FI277" s="138">
        <v>15913</v>
      </c>
      <c r="FJ277" s="138">
        <v>2604</v>
      </c>
      <c r="FK277" s="138">
        <v>11</v>
      </c>
      <c r="FL277" s="147">
        <v>3263</v>
      </c>
      <c r="FM277" s="147">
        <v>3182.0656283078783</v>
      </c>
      <c r="FO277" s="181">
        <f t="shared" si="12"/>
        <v>805.8536585365854</v>
      </c>
      <c r="FP277" s="179">
        <f t="shared" si="14"/>
        <v>121.32695852703785</v>
      </c>
      <c r="FR277" s="184"/>
      <c r="FV277" s="184">
        <v>3191</v>
      </c>
      <c r="FW277" s="2">
        <f t="shared" si="13"/>
        <v>-3191</v>
      </c>
    </row>
    <row r="278" spans="1:179" ht="12.75">
      <c r="A278" s="82">
        <v>886</v>
      </c>
      <c r="B278" s="80" t="s">
        <v>269</v>
      </c>
      <c r="C278" s="191">
        <v>13554</v>
      </c>
      <c r="D278" s="146"/>
      <c r="E278" s="150">
        <v>0.36940509915014164</v>
      </c>
      <c r="F278" s="150">
        <v>34.8</v>
      </c>
      <c r="G278" s="151">
        <v>-1387</v>
      </c>
      <c r="H278" s="152"/>
      <c r="I278" s="152"/>
      <c r="J278" s="152"/>
      <c r="K278" s="150">
        <v>62.5</v>
      </c>
      <c r="L278" s="151">
        <v>247</v>
      </c>
      <c r="M278" s="151">
        <v>16</v>
      </c>
      <c r="N278" s="154">
        <v>5547.587428065515</v>
      </c>
      <c r="O278" s="146">
        <v>20665</v>
      </c>
      <c r="P278" s="139">
        <v>8826</v>
      </c>
      <c r="Q278" s="139">
        <v>70137</v>
      </c>
      <c r="R278" s="139">
        <v>-61311</v>
      </c>
      <c r="S278" s="146">
        <v>42405</v>
      </c>
      <c r="T278" s="139">
        <v>19331</v>
      </c>
      <c r="U278" s="160"/>
      <c r="W278" s="138">
        <v>-11</v>
      </c>
      <c r="X278" s="138">
        <v>78</v>
      </c>
      <c r="Y278" s="139">
        <v>492</v>
      </c>
      <c r="Z278" s="138">
        <v>3766</v>
      </c>
      <c r="AA278" s="139"/>
      <c r="AC278" s="139">
        <v>-3274</v>
      </c>
      <c r="AD278" s="138">
        <v>40</v>
      </c>
      <c r="AE278" s="138">
        <v>192</v>
      </c>
      <c r="AG278" s="139">
        <v>-3042</v>
      </c>
      <c r="AH278" s="139">
        <v>3820</v>
      </c>
      <c r="AI278" s="139">
        <v>388</v>
      </c>
      <c r="AJ278" s="176"/>
      <c r="AK278" s="138">
        <v>-422</v>
      </c>
      <c r="AL278" s="151">
        <v>-1605</v>
      </c>
      <c r="AM278" s="151">
        <v>-1935</v>
      </c>
      <c r="AN278" s="146">
        <v>42405</v>
      </c>
      <c r="AO278" s="139">
        <v>39456</v>
      </c>
      <c r="AP278" s="139">
        <v>1569</v>
      </c>
      <c r="AQ278" s="139">
        <v>1380</v>
      </c>
      <c r="AR278" s="114">
        <v>19.5</v>
      </c>
      <c r="AS278" s="152"/>
      <c r="AT278" s="138">
        <v>271</v>
      </c>
      <c r="AU278" s="191">
        <v>13470</v>
      </c>
      <c r="AV278" s="146"/>
      <c r="AW278" s="150">
        <v>0.7557507319113341</v>
      </c>
      <c r="AX278" s="150">
        <v>34.8</v>
      </c>
      <c r="AY278" s="151">
        <v>-1418</v>
      </c>
      <c r="AZ278" s="152"/>
      <c r="BA278" s="152"/>
      <c r="BB278" s="152"/>
      <c r="BC278" s="150">
        <v>60.4</v>
      </c>
      <c r="BD278" s="151">
        <v>255</v>
      </c>
      <c r="BE278" s="151">
        <v>16</v>
      </c>
      <c r="BF278" s="154">
        <v>5775.426874536006</v>
      </c>
      <c r="BG278" s="146">
        <v>20601</v>
      </c>
      <c r="BH278" s="139">
        <v>10493</v>
      </c>
      <c r="BI278" s="139">
        <v>72665</v>
      </c>
      <c r="BJ278" s="139">
        <v>-62172</v>
      </c>
      <c r="BK278" s="146">
        <v>43972</v>
      </c>
      <c r="BL278" s="146">
        <v>19734</v>
      </c>
      <c r="BM278" s="160"/>
      <c r="BO278" s="138">
        <v>-103</v>
      </c>
      <c r="BP278" s="138">
        <v>126</v>
      </c>
      <c r="BQ278" s="139">
        <v>1557</v>
      </c>
      <c r="BR278" s="138">
        <v>3451</v>
      </c>
      <c r="BS278" s="139"/>
      <c r="BU278" s="139">
        <v>-1894</v>
      </c>
      <c r="BV278" s="138">
        <v>207</v>
      </c>
      <c r="BX278" s="138">
        <v>252</v>
      </c>
      <c r="BY278" s="138">
        <v>-1435</v>
      </c>
      <c r="BZ278" s="139">
        <v>2702</v>
      </c>
      <c r="CA278" s="139">
        <v>458</v>
      </c>
      <c r="CB278" s="176"/>
      <c r="CC278" s="138">
        <v>-893</v>
      </c>
      <c r="CD278" s="151">
        <v>-2141</v>
      </c>
      <c r="CE278" s="151">
        <v>-876</v>
      </c>
      <c r="CF278" s="138">
        <v>43972</v>
      </c>
      <c r="CG278" s="139">
        <v>40943</v>
      </c>
      <c r="CH278" s="139">
        <v>1137</v>
      </c>
      <c r="CI278" s="139">
        <v>1892</v>
      </c>
      <c r="CJ278" s="114">
        <v>19.75</v>
      </c>
      <c r="CK278" s="152"/>
      <c r="CL278" s="138">
        <v>179</v>
      </c>
      <c r="CM278" s="190">
        <v>13361</v>
      </c>
      <c r="CN278" s="146"/>
      <c r="CO278" s="150">
        <v>2.60437205315045</v>
      </c>
      <c r="CP278" s="150">
        <v>30.05112191190914</v>
      </c>
      <c r="CQ278" s="151">
        <v>-1168.5502582142055</v>
      </c>
      <c r="CR278" s="152"/>
      <c r="CS278" s="152"/>
      <c r="CT278" s="152"/>
      <c r="CU278" s="150">
        <v>66.1272392102782</v>
      </c>
      <c r="CV278" s="151">
        <v>391.36292193698074</v>
      </c>
      <c r="CW278" s="151">
        <v>24.38805760359831</v>
      </c>
      <c r="CX278" s="154">
        <v>5857.271162338148</v>
      </c>
      <c r="CY278" s="146">
        <v>21257</v>
      </c>
      <c r="CZ278" s="139">
        <v>9999</v>
      </c>
      <c r="DA278" s="139">
        <v>73501</v>
      </c>
      <c r="DB278" s="139">
        <v>-63502</v>
      </c>
      <c r="DC278" s="146">
        <v>48845</v>
      </c>
      <c r="DD278" s="146">
        <v>20574</v>
      </c>
      <c r="DE278" s="160"/>
      <c r="DG278" s="138">
        <v>-100</v>
      </c>
      <c r="DH278" s="138">
        <v>69</v>
      </c>
      <c r="DI278" s="139">
        <v>5886</v>
      </c>
      <c r="DJ278" s="138">
        <v>3374</v>
      </c>
      <c r="DK278" s="139"/>
      <c r="DM278" s="139">
        <v>2512</v>
      </c>
      <c r="DQ278" s="138">
        <v>2512</v>
      </c>
      <c r="DR278" s="139">
        <v>9846</v>
      </c>
      <c r="DS278" s="139">
        <v>5003</v>
      </c>
      <c r="DT278" s="176"/>
      <c r="DU278" s="138">
        <v>302</v>
      </c>
      <c r="DV278" s="151">
        <v>-2143</v>
      </c>
      <c r="DW278" s="138">
        <v>3353</v>
      </c>
      <c r="DX278" s="138">
        <v>48845</v>
      </c>
      <c r="DY278" s="146">
        <v>45416</v>
      </c>
      <c r="DZ278" s="196">
        <v>1496</v>
      </c>
      <c r="EA278" s="146">
        <v>1933</v>
      </c>
      <c r="EB278" s="114">
        <v>20.5</v>
      </c>
      <c r="EC278" s="152"/>
      <c r="ED278" s="138">
        <v>74</v>
      </c>
      <c r="EE278" s="138">
        <v>42232</v>
      </c>
      <c r="EF278" s="138">
        <v>44233</v>
      </c>
      <c r="EG278" s="138">
        <v>45337</v>
      </c>
      <c r="EH278" s="138"/>
      <c r="EI278" s="138"/>
      <c r="EJ278" s="138"/>
      <c r="EK278" s="3">
        <v>-2650</v>
      </c>
      <c r="EL278" s="138">
        <v>5</v>
      </c>
      <c r="EM278" s="138">
        <v>322</v>
      </c>
      <c r="EN278" s="3">
        <v>-2624</v>
      </c>
      <c r="EO278" s="138">
        <v>50</v>
      </c>
      <c r="EP278" s="138">
        <v>1240</v>
      </c>
      <c r="EQ278" s="3">
        <v>-2419</v>
      </c>
      <c r="ER278" s="138">
        <v>59</v>
      </c>
      <c r="ES278" s="138">
        <v>710</v>
      </c>
      <c r="ET278" s="163"/>
      <c r="EU278" s="163">
        <v>2979</v>
      </c>
      <c r="EV278" s="138">
        <v>4500</v>
      </c>
      <c r="EW278" s="138">
        <v>-560</v>
      </c>
      <c r="EX278" s="138"/>
      <c r="EY278" s="138">
        <v>-1500</v>
      </c>
      <c r="EZ278" s="138">
        <v>17438</v>
      </c>
      <c r="FA278" s="138">
        <v>10735</v>
      </c>
      <c r="FB278" s="138">
        <v>6703</v>
      </c>
      <c r="FC278" s="138">
        <v>3807</v>
      </c>
      <c r="FD278" s="138">
        <v>19237</v>
      </c>
      <c r="FE278" s="138">
        <v>13093</v>
      </c>
      <c r="FF278" s="138">
        <v>6144</v>
      </c>
      <c r="FG278" s="138">
        <v>3362</v>
      </c>
      <c r="FH278" s="138">
        <v>15594</v>
      </c>
      <c r="FI278" s="138">
        <v>11063</v>
      </c>
      <c r="FJ278" s="138">
        <v>4531</v>
      </c>
      <c r="FK278" s="138">
        <v>3250</v>
      </c>
      <c r="FL278" s="147">
        <v>4203</v>
      </c>
      <c r="FM278" s="147">
        <v>4304.899777282851</v>
      </c>
      <c r="FO278" s="181">
        <f t="shared" si="12"/>
        <v>2215.4146341463415</v>
      </c>
      <c r="FP278" s="179">
        <f t="shared" si="14"/>
        <v>165.8120375829909</v>
      </c>
      <c r="FR278" s="184"/>
      <c r="FV278" s="184">
        <v>1605</v>
      </c>
      <c r="FW278" s="2">
        <f t="shared" si="13"/>
        <v>-1605</v>
      </c>
    </row>
    <row r="279" spans="1:179" ht="12.75">
      <c r="A279" s="82">
        <v>887</v>
      </c>
      <c r="B279" s="80" t="s">
        <v>270</v>
      </c>
      <c r="C279" s="191">
        <v>5246</v>
      </c>
      <c r="D279" s="146"/>
      <c r="E279" s="150">
        <v>0.6779761904761905</v>
      </c>
      <c r="F279" s="150">
        <v>27.5</v>
      </c>
      <c r="G279" s="151">
        <v>-1165</v>
      </c>
      <c r="H279" s="152"/>
      <c r="I279" s="152"/>
      <c r="J279" s="152"/>
      <c r="K279" s="150">
        <v>58.7</v>
      </c>
      <c r="L279" s="151">
        <v>329</v>
      </c>
      <c r="M279" s="151">
        <v>19</v>
      </c>
      <c r="N279" s="154">
        <v>6000.762485703393</v>
      </c>
      <c r="O279" s="146">
        <v>8409</v>
      </c>
      <c r="P279" s="139">
        <v>3627</v>
      </c>
      <c r="Q279" s="139">
        <v>30045</v>
      </c>
      <c r="R279" s="139">
        <v>-26418</v>
      </c>
      <c r="S279" s="146">
        <v>15484</v>
      </c>
      <c r="T279" s="139">
        <v>12023</v>
      </c>
      <c r="U279" s="160"/>
      <c r="W279" s="138">
        <v>-130</v>
      </c>
      <c r="X279" s="138">
        <v>50</v>
      </c>
      <c r="Y279" s="139">
        <v>1009</v>
      </c>
      <c r="Z279" s="138">
        <v>930</v>
      </c>
      <c r="AC279" s="139">
        <v>79</v>
      </c>
      <c r="AG279" s="139">
        <v>79</v>
      </c>
      <c r="AH279" s="139">
        <v>-2106</v>
      </c>
      <c r="AI279" s="139">
        <v>879</v>
      </c>
      <c r="AJ279" s="176"/>
      <c r="AK279" s="138">
        <v>774</v>
      </c>
      <c r="AL279" s="151">
        <v>-1550</v>
      </c>
      <c r="AM279" s="151">
        <v>33</v>
      </c>
      <c r="AN279" s="146">
        <v>15484</v>
      </c>
      <c r="AO279" s="139">
        <v>12820</v>
      </c>
      <c r="AP279" s="139">
        <v>1660</v>
      </c>
      <c r="AQ279" s="139">
        <v>1004</v>
      </c>
      <c r="AR279" s="114">
        <v>21</v>
      </c>
      <c r="AS279" s="152"/>
      <c r="AT279" s="138">
        <v>208</v>
      </c>
      <c r="AU279" s="191">
        <v>5174</v>
      </c>
      <c r="AV279" s="146"/>
      <c r="AW279" s="150">
        <v>0.03133903133903134</v>
      </c>
      <c r="AX279" s="150">
        <v>26.7</v>
      </c>
      <c r="AY279" s="151">
        <v>-1294</v>
      </c>
      <c r="AZ279" s="152"/>
      <c r="BA279" s="152"/>
      <c r="BB279" s="152"/>
      <c r="BC279" s="150">
        <v>56.8</v>
      </c>
      <c r="BD279" s="151">
        <v>118</v>
      </c>
      <c r="BE279" s="151">
        <v>7</v>
      </c>
      <c r="BF279" s="154">
        <v>6471.00889060688</v>
      </c>
      <c r="BG279" s="146">
        <v>8742</v>
      </c>
      <c r="BH279" s="139">
        <v>3668</v>
      </c>
      <c r="BI279" s="139">
        <v>31339</v>
      </c>
      <c r="BJ279" s="139">
        <v>-27671</v>
      </c>
      <c r="BK279" s="146">
        <v>15106</v>
      </c>
      <c r="BL279" s="146">
        <v>12539</v>
      </c>
      <c r="BM279" s="160"/>
      <c r="BO279" s="138">
        <v>-111</v>
      </c>
      <c r="BP279" s="138">
        <v>43</v>
      </c>
      <c r="BQ279" s="139">
        <v>-94</v>
      </c>
      <c r="BR279" s="138">
        <v>988</v>
      </c>
      <c r="BU279" s="139">
        <v>-1082</v>
      </c>
      <c r="BY279" s="138">
        <v>-1082</v>
      </c>
      <c r="BZ279" s="139">
        <v>-3188</v>
      </c>
      <c r="CA279" s="139">
        <v>-78</v>
      </c>
      <c r="CB279" s="176"/>
      <c r="CC279" s="138">
        <v>-314</v>
      </c>
      <c r="CD279" s="151">
        <v>-1266</v>
      </c>
      <c r="CE279" s="151">
        <v>-767</v>
      </c>
      <c r="CF279" s="138">
        <v>15106</v>
      </c>
      <c r="CG279" s="139">
        <v>13143</v>
      </c>
      <c r="CH279" s="139">
        <v>842</v>
      </c>
      <c r="CI279" s="139">
        <v>1121</v>
      </c>
      <c r="CJ279" s="114">
        <v>21</v>
      </c>
      <c r="CK279" s="152"/>
      <c r="CL279" s="138">
        <v>251</v>
      </c>
      <c r="CM279" s="190">
        <v>5105</v>
      </c>
      <c r="CN279" s="146"/>
      <c r="CO279" s="150">
        <v>1.7605321507760532</v>
      </c>
      <c r="CP279" s="150">
        <v>26.168767059643418</v>
      </c>
      <c r="CQ279" s="151">
        <v>-1030.7541625857002</v>
      </c>
      <c r="CR279" s="152"/>
      <c r="CS279" s="152"/>
      <c r="CT279" s="152"/>
      <c r="CU279" s="150">
        <v>57.79639175257732</v>
      </c>
      <c r="CV279" s="151">
        <v>480.3134182174339</v>
      </c>
      <c r="CW279" s="151">
        <v>26.03729671544526</v>
      </c>
      <c r="CX279" s="154">
        <v>6733.202742409403</v>
      </c>
      <c r="CY279" s="146">
        <v>8824</v>
      </c>
      <c r="CZ279" s="139">
        <v>4058</v>
      </c>
      <c r="DA279" s="139">
        <v>32129</v>
      </c>
      <c r="DB279" s="139">
        <v>-28071</v>
      </c>
      <c r="DC279" s="146">
        <v>16647</v>
      </c>
      <c r="DD279" s="146">
        <v>13733</v>
      </c>
      <c r="DE279" s="160"/>
      <c r="DG279" s="138">
        <v>-83</v>
      </c>
      <c r="DH279" s="138">
        <v>49</v>
      </c>
      <c r="DI279" s="139">
        <v>2275</v>
      </c>
      <c r="DJ279" s="138">
        <v>918</v>
      </c>
      <c r="DM279" s="139">
        <v>1357</v>
      </c>
      <c r="DQ279" s="138">
        <v>1357</v>
      </c>
      <c r="DR279" s="139">
        <v>-1831</v>
      </c>
      <c r="DS279" s="139">
        <v>2054</v>
      </c>
      <c r="DT279" s="176"/>
      <c r="DU279" s="138">
        <v>-250</v>
      </c>
      <c r="DV279" s="151">
        <v>-1246</v>
      </c>
      <c r="DW279" s="138">
        <v>1486</v>
      </c>
      <c r="DX279" s="138">
        <v>16647</v>
      </c>
      <c r="DY279" s="146">
        <v>14600</v>
      </c>
      <c r="DZ279" s="196">
        <v>798</v>
      </c>
      <c r="EA279" s="146">
        <v>1249</v>
      </c>
      <c r="EB279" s="114">
        <v>21.5</v>
      </c>
      <c r="EC279" s="152"/>
      <c r="ED279" s="138">
        <v>70</v>
      </c>
      <c r="EE279" s="138">
        <v>18567</v>
      </c>
      <c r="EF279" s="138">
        <v>19351</v>
      </c>
      <c r="EG279" s="138">
        <v>19925</v>
      </c>
      <c r="EH279" s="138"/>
      <c r="EI279" s="138"/>
      <c r="EJ279" s="138">
        <v>670</v>
      </c>
      <c r="EK279" s="3">
        <v>-1403</v>
      </c>
      <c r="EL279" s="138">
        <v>377</v>
      </c>
      <c r="EM279" s="138">
        <v>180</v>
      </c>
      <c r="EN279" s="3">
        <v>-709</v>
      </c>
      <c r="EO279" s="138"/>
      <c r="EP279" s="138">
        <v>20</v>
      </c>
      <c r="EQ279" s="3">
        <v>-890</v>
      </c>
      <c r="ER279" s="138">
        <v>11</v>
      </c>
      <c r="ES279" s="138">
        <v>311</v>
      </c>
      <c r="ET279" s="163">
        <v>1500</v>
      </c>
      <c r="EU279" s="163"/>
      <c r="EV279" s="138">
        <v>800</v>
      </c>
      <c r="EW279" s="138"/>
      <c r="EX279" s="138">
        <v>1800</v>
      </c>
      <c r="EY279" s="138"/>
      <c r="EZ279" s="138">
        <v>5874</v>
      </c>
      <c r="FA279" s="138">
        <v>4658</v>
      </c>
      <c r="FB279" s="138">
        <v>1216</v>
      </c>
      <c r="FC279" s="138">
        <v>662</v>
      </c>
      <c r="FD279" s="138">
        <v>5407</v>
      </c>
      <c r="FE279" s="138">
        <v>4262</v>
      </c>
      <c r="FF279" s="138">
        <v>1145</v>
      </c>
      <c r="FG279" s="138">
        <v>684</v>
      </c>
      <c r="FH279" s="138">
        <v>5962</v>
      </c>
      <c r="FI279" s="138">
        <v>4700</v>
      </c>
      <c r="FJ279" s="138">
        <v>1262</v>
      </c>
      <c r="FK279" s="138">
        <v>666</v>
      </c>
      <c r="FL279" s="147">
        <v>2419</v>
      </c>
      <c r="FM279" s="147">
        <v>2287.591805179745</v>
      </c>
      <c r="FO279" s="181">
        <f t="shared" si="12"/>
        <v>679.0697674418604</v>
      </c>
      <c r="FP279" s="179">
        <f t="shared" si="14"/>
        <v>133.02052251554562</v>
      </c>
      <c r="FR279" s="184"/>
      <c r="FV279" s="184">
        <v>1550</v>
      </c>
      <c r="FW279" s="2">
        <f t="shared" si="13"/>
        <v>-1550</v>
      </c>
    </row>
    <row r="280" spans="1:179" ht="12.75">
      <c r="A280" s="82">
        <v>889</v>
      </c>
      <c r="B280" s="80" t="s">
        <v>271</v>
      </c>
      <c r="C280" s="191">
        <v>2951</v>
      </c>
      <c r="D280" s="146"/>
      <c r="E280" s="150">
        <v>3.2705882352941176</v>
      </c>
      <c r="F280" s="150">
        <v>33</v>
      </c>
      <c r="G280" s="151">
        <v>-1791</v>
      </c>
      <c r="H280" s="152"/>
      <c r="I280" s="152"/>
      <c r="J280" s="152"/>
      <c r="K280" s="150">
        <v>58.5</v>
      </c>
      <c r="L280" s="151">
        <v>557</v>
      </c>
      <c r="M280" s="151">
        <v>24</v>
      </c>
      <c r="N280" s="154">
        <v>7749.576414774653</v>
      </c>
      <c r="O280" s="146">
        <v>6023</v>
      </c>
      <c r="P280" s="139">
        <v>3269</v>
      </c>
      <c r="Q280" s="139">
        <v>20138</v>
      </c>
      <c r="R280" s="139">
        <v>-16869</v>
      </c>
      <c r="S280" s="146">
        <v>9637</v>
      </c>
      <c r="T280" s="139">
        <v>11079</v>
      </c>
      <c r="U280" s="160"/>
      <c r="W280" s="138">
        <v>-149</v>
      </c>
      <c r="X280" s="138">
        <v>20</v>
      </c>
      <c r="Y280" s="139">
        <v>3718</v>
      </c>
      <c r="Z280" s="138">
        <v>694</v>
      </c>
      <c r="AA280" s="139"/>
      <c r="AC280" s="139">
        <v>3024</v>
      </c>
      <c r="AD280" s="139"/>
      <c r="AF280" s="139"/>
      <c r="AG280" s="139">
        <v>3024</v>
      </c>
      <c r="AH280" s="139">
        <v>2102</v>
      </c>
      <c r="AI280" s="139">
        <v>3457</v>
      </c>
      <c r="AJ280" s="176"/>
      <c r="AK280" s="138">
        <v>1</v>
      </c>
      <c r="AL280" s="151">
        <v>-1016</v>
      </c>
      <c r="AM280" s="151">
        <v>992</v>
      </c>
      <c r="AN280" s="146">
        <v>9637</v>
      </c>
      <c r="AO280" s="139">
        <v>5869</v>
      </c>
      <c r="AP280" s="139">
        <v>1068</v>
      </c>
      <c r="AQ280" s="139">
        <v>2700</v>
      </c>
      <c r="AR280" s="114">
        <v>19.5</v>
      </c>
      <c r="AS280" s="152"/>
      <c r="AT280" s="138">
        <v>1</v>
      </c>
      <c r="AU280" s="191">
        <v>2950</v>
      </c>
      <c r="AV280" s="146"/>
      <c r="AW280" s="150">
        <v>2.533724340175953</v>
      </c>
      <c r="AX280" s="150">
        <v>29.4</v>
      </c>
      <c r="AY280" s="151">
        <v>-1596</v>
      </c>
      <c r="AZ280" s="152"/>
      <c r="BA280" s="152"/>
      <c r="BB280" s="152"/>
      <c r="BC280" s="150">
        <v>63.9</v>
      </c>
      <c r="BD280" s="151">
        <v>436</v>
      </c>
      <c r="BE280" s="151">
        <v>19</v>
      </c>
      <c r="BF280" s="154">
        <v>8347.118644067796</v>
      </c>
      <c r="BG280" s="146">
        <v>6519</v>
      </c>
      <c r="BH280" s="139">
        <v>3341</v>
      </c>
      <c r="BI280" s="139">
        <v>21411</v>
      </c>
      <c r="BJ280" s="139">
        <v>-18070</v>
      </c>
      <c r="BK280" s="146">
        <v>8759</v>
      </c>
      <c r="BL280" s="146">
        <v>11892</v>
      </c>
      <c r="BM280" s="160"/>
      <c r="BO280" s="138">
        <v>-114</v>
      </c>
      <c r="BP280" s="138">
        <v>8</v>
      </c>
      <c r="BQ280" s="139">
        <v>2475</v>
      </c>
      <c r="BR280" s="138">
        <v>1128</v>
      </c>
      <c r="BS280" s="139"/>
      <c r="BU280" s="139">
        <v>1347</v>
      </c>
      <c r="BV280" s="139"/>
      <c r="BX280" s="139"/>
      <c r="BY280" s="138">
        <v>1347</v>
      </c>
      <c r="BZ280" s="139">
        <v>3450</v>
      </c>
      <c r="CA280" s="139">
        <v>2387</v>
      </c>
      <c r="CB280" s="176"/>
      <c r="CC280" s="138">
        <v>-68</v>
      </c>
      <c r="CD280" s="151">
        <v>-906</v>
      </c>
      <c r="CE280" s="151">
        <v>583</v>
      </c>
      <c r="CF280" s="138">
        <v>8759</v>
      </c>
      <c r="CG280" s="139">
        <v>5913</v>
      </c>
      <c r="CH280" s="139">
        <v>644</v>
      </c>
      <c r="CI280" s="139">
        <v>2202</v>
      </c>
      <c r="CJ280" s="114">
        <v>19.5</v>
      </c>
      <c r="CK280" s="152"/>
      <c r="CL280" s="138">
        <v>5</v>
      </c>
      <c r="CM280" s="190">
        <v>2945</v>
      </c>
      <c r="CN280" s="146"/>
      <c r="CO280" s="150">
        <v>2.0245261984392418</v>
      </c>
      <c r="CP280" s="150">
        <v>35.28986670949093</v>
      </c>
      <c r="CQ280" s="151">
        <v>-2262.478777589134</v>
      </c>
      <c r="CR280" s="152"/>
      <c r="CS280" s="152"/>
      <c r="CT280" s="152"/>
      <c r="CU280" s="150">
        <v>59.83921067056459</v>
      </c>
      <c r="CV280" s="151">
        <v>389.4736842105263</v>
      </c>
      <c r="CW280" s="151">
        <v>15.067120132440797</v>
      </c>
      <c r="CX280" s="154">
        <v>9434.974533106963</v>
      </c>
      <c r="CY280" s="146">
        <v>6789</v>
      </c>
      <c r="CZ280" s="139">
        <v>3397</v>
      </c>
      <c r="DA280" s="139">
        <v>23109</v>
      </c>
      <c r="DB280" s="139">
        <v>-19712</v>
      </c>
      <c r="DC280" s="146">
        <v>9476</v>
      </c>
      <c r="DD280" s="146">
        <v>12035</v>
      </c>
      <c r="DE280" s="160"/>
      <c r="DG280" s="138">
        <v>-74</v>
      </c>
      <c r="DH280" s="138">
        <v>7</v>
      </c>
      <c r="DI280" s="139">
        <v>1732</v>
      </c>
      <c r="DJ280" s="138">
        <v>1137</v>
      </c>
      <c r="DK280" s="139"/>
      <c r="DM280" s="139">
        <v>595</v>
      </c>
      <c r="DN280" s="139"/>
      <c r="DP280" s="139"/>
      <c r="DQ280" s="138">
        <v>595</v>
      </c>
      <c r="DR280" s="139">
        <v>4045</v>
      </c>
      <c r="DS280" s="139">
        <v>1729</v>
      </c>
      <c r="DT280" s="176"/>
      <c r="DU280" s="138">
        <v>67</v>
      </c>
      <c r="DV280" s="151">
        <v>-813</v>
      </c>
      <c r="DW280" s="138">
        <v>47</v>
      </c>
      <c r="DX280" s="138">
        <v>9476</v>
      </c>
      <c r="DY280" s="146">
        <v>6539</v>
      </c>
      <c r="DZ280" s="196">
        <v>685</v>
      </c>
      <c r="EA280" s="146">
        <v>2252</v>
      </c>
      <c r="EB280" s="114">
        <v>19.5</v>
      </c>
      <c r="EC280" s="152"/>
      <c r="ED280" s="138">
        <v>36</v>
      </c>
      <c r="EE280" s="138">
        <v>12337</v>
      </c>
      <c r="EF280" s="138">
        <v>12986</v>
      </c>
      <c r="EG280" s="138">
        <v>14476</v>
      </c>
      <c r="EH280" s="138"/>
      <c r="EI280" s="138"/>
      <c r="EJ280" s="138"/>
      <c r="EK280" s="3">
        <v>-3728</v>
      </c>
      <c r="EL280" s="138">
        <v>1000</v>
      </c>
      <c r="EM280" s="138">
        <v>263</v>
      </c>
      <c r="EN280" s="3">
        <v>-2186</v>
      </c>
      <c r="EO280" s="138">
        <v>290</v>
      </c>
      <c r="EP280" s="138">
        <v>92</v>
      </c>
      <c r="EQ280" s="3">
        <v>-1776</v>
      </c>
      <c r="ER280" s="138">
        <v>84</v>
      </c>
      <c r="ES280" s="138">
        <v>10</v>
      </c>
      <c r="ET280" s="163"/>
      <c r="EU280" s="163"/>
      <c r="EV280" s="138"/>
      <c r="EW280" s="138"/>
      <c r="EX280" s="138">
        <v>1000</v>
      </c>
      <c r="EY280" s="138">
        <v>1000</v>
      </c>
      <c r="EZ280" s="138">
        <v>5958</v>
      </c>
      <c r="FA280" s="138">
        <v>5085</v>
      </c>
      <c r="FB280" s="138">
        <v>873</v>
      </c>
      <c r="FC280" s="138">
        <v>555</v>
      </c>
      <c r="FD280" s="138">
        <v>5052</v>
      </c>
      <c r="FE280" s="138">
        <v>4288</v>
      </c>
      <c r="FF280" s="138">
        <v>764</v>
      </c>
      <c r="FG280" s="138">
        <v>555</v>
      </c>
      <c r="FH280" s="138">
        <v>6237</v>
      </c>
      <c r="FI280" s="138">
        <v>4398</v>
      </c>
      <c r="FJ280" s="138">
        <v>1839</v>
      </c>
      <c r="FK280" s="138">
        <v>2555</v>
      </c>
      <c r="FL280" s="147">
        <v>4317</v>
      </c>
      <c r="FM280" s="147">
        <v>4201.016949152542</v>
      </c>
      <c r="FO280" s="181">
        <f t="shared" si="12"/>
        <v>335.3333333333333</v>
      </c>
      <c r="FP280" s="179">
        <f t="shared" si="14"/>
        <v>113.86530843237125</v>
      </c>
      <c r="FR280" s="184"/>
      <c r="FV280" s="184">
        <v>1016</v>
      </c>
      <c r="FW280" s="2">
        <f t="shared" si="13"/>
        <v>-1016</v>
      </c>
    </row>
    <row r="281" spans="1:179" ht="12.75">
      <c r="A281" s="82">
        <v>890</v>
      </c>
      <c r="B281" s="80" t="s">
        <v>272</v>
      </c>
      <c r="C281" s="191">
        <v>1294</v>
      </c>
      <c r="D281" s="146"/>
      <c r="E281" s="150">
        <v>1.1581450653983354</v>
      </c>
      <c r="F281" s="150">
        <v>41.5</v>
      </c>
      <c r="G281" s="151">
        <v>-2985</v>
      </c>
      <c r="H281" s="152"/>
      <c r="I281" s="152"/>
      <c r="J281" s="152"/>
      <c r="K281" s="150">
        <v>11.8</v>
      </c>
      <c r="L281" s="151">
        <v>355</v>
      </c>
      <c r="M281" s="151">
        <v>13</v>
      </c>
      <c r="N281" s="154">
        <v>15506.955177743432</v>
      </c>
      <c r="O281" s="146">
        <v>6029</v>
      </c>
      <c r="P281" s="139">
        <v>2535</v>
      </c>
      <c r="Q281" s="139">
        <v>11637</v>
      </c>
      <c r="R281" s="139">
        <v>-9102</v>
      </c>
      <c r="S281" s="146">
        <v>3946</v>
      </c>
      <c r="T281" s="139">
        <v>5968</v>
      </c>
      <c r="U281" s="160"/>
      <c r="W281" s="138">
        <v>-125</v>
      </c>
      <c r="X281" s="138">
        <v>9</v>
      </c>
      <c r="Y281" s="139">
        <v>696</v>
      </c>
      <c r="Z281" s="138">
        <v>237</v>
      </c>
      <c r="AA281" s="138">
        <v>27</v>
      </c>
      <c r="AB281" s="138">
        <v>30</v>
      </c>
      <c r="AC281" s="139">
        <v>456</v>
      </c>
      <c r="AG281" s="139">
        <v>456</v>
      </c>
      <c r="AH281" s="139">
        <v>-1870</v>
      </c>
      <c r="AI281" s="139">
        <v>696</v>
      </c>
      <c r="AJ281" s="176"/>
      <c r="AK281" s="138">
        <v>-182</v>
      </c>
      <c r="AL281" s="151">
        <v>-563</v>
      </c>
      <c r="AM281" s="151">
        <v>146</v>
      </c>
      <c r="AN281" s="146">
        <v>3946</v>
      </c>
      <c r="AO281" s="139">
        <v>3400</v>
      </c>
      <c r="AP281" s="139">
        <v>111</v>
      </c>
      <c r="AQ281" s="139">
        <v>435</v>
      </c>
      <c r="AR281" s="114">
        <v>20.75</v>
      </c>
      <c r="AS281" s="152"/>
      <c r="AT281" s="138">
        <v>31</v>
      </c>
      <c r="AU281" s="191">
        <v>1285</v>
      </c>
      <c r="AV281" s="146"/>
      <c r="AW281" s="150">
        <v>2.2870544090056284</v>
      </c>
      <c r="AX281" s="150">
        <v>37.1</v>
      </c>
      <c r="AY281" s="151">
        <v>-2817</v>
      </c>
      <c r="AZ281" s="152"/>
      <c r="BA281" s="152"/>
      <c r="BB281" s="152"/>
      <c r="BC281" s="150">
        <v>23.3</v>
      </c>
      <c r="BD281" s="151">
        <v>395</v>
      </c>
      <c r="BE281" s="151">
        <v>13</v>
      </c>
      <c r="BF281" s="154">
        <v>10681.712062256809</v>
      </c>
      <c r="BG281" s="146">
        <v>6411</v>
      </c>
      <c r="BH281" s="139">
        <v>2715</v>
      </c>
      <c r="BI281" s="139">
        <v>12302</v>
      </c>
      <c r="BJ281" s="139">
        <v>-9587</v>
      </c>
      <c r="BK281" s="146">
        <v>4226</v>
      </c>
      <c r="BL281" s="146">
        <v>6569</v>
      </c>
      <c r="BM281" s="160"/>
      <c r="BO281" s="138">
        <v>-77</v>
      </c>
      <c r="BP281" s="138">
        <v>11</v>
      </c>
      <c r="BQ281" s="139">
        <v>1142</v>
      </c>
      <c r="BR281" s="138">
        <v>290</v>
      </c>
      <c r="BT281" s="138">
        <v>14</v>
      </c>
      <c r="BU281" s="139">
        <v>838</v>
      </c>
      <c r="BY281" s="138">
        <v>838</v>
      </c>
      <c r="BZ281" s="139">
        <v>-1032</v>
      </c>
      <c r="CA281" s="139">
        <v>1129</v>
      </c>
      <c r="CB281" s="176"/>
      <c r="CC281" s="138">
        <v>-41</v>
      </c>
      <c r="CD281" s="151">
        <v>-456</v>
      </c>
      <c r="CE281" s="151">
        <v>280</v>
      </c>
      <c r="CF281" s="138">
        <v>4226</v>
      </c>
      <c r="CG281" s="139">
        <v>3678</v>
      </c>
      <c r="CH281" s="139">
        <v>81</v>
      </c>
      <c r="CI281" s="139">
        <v>467</v>
      </c>
      <c r="CJ281" s="114">
        <v>20.75</v>
      </c>
      <c r="CK281" s="152"/>
      <c r="CL281" s="138">
        <v>3</v>
      </c>
      <c r="CM281" s="190">
        <v>1279</v>
      </c>
      <c r="CN281" s="146"/>
      <c r="CO281" s="150">
        <v>2.2142857142857144</v>
      </c>
      <c r="CP281" s="150">
        <v>41.52029735442023</v>
      </c>
      <c r="CQ281" s="151">
        <v>-3204.0656763096167</v>
      </c>
      <c r="CR281" s="152"/>
      <c r="CS281" s="152"/>
      <c r="CT281" s="152"/>
      <c r="CU281" s="150">
        <v>28.914612895195418</v>
      </c>
      <c r="CV281" s="151">
        <v>201.72009382329944</v>
      </c>
      <c r="CW281" s="151">
        <v>6.142857142857142</v>
      </c>
      <c r="CX281" s="154">
        <v>11985.926505082096</v>
      </c>
      <c r="CY281" s="146">
        <v>6484</v>
      </c>
      <c r="CZ281" s="139">
        <v>2666</v>
      </c>
      <c r="DA281" s="139">
        <v>12427</v>
      </c>
      <c r="DB281" s="139">
        <v>-9761</v>
      </c>
      <c r="DC281" s="146">
        <v>4325</v>
      </c>
      <c r="DD281" s="146">
        <v>6730</v>
      </c>
      <c r="DE281" s="160"/>
      <c r="DG281" s="138">
        <v>-72</v>
      </c>
      <c r="DH281" s="138">
        <v>8</v>
      </c>
      <c r="DI281" s="139">
        <v>1230</v>
      </c>
      <c r="DJ281" s="138">
        <v>441</v>
      </c>
      <c r="DK281" s="138">
        <v>1</v>
      </c>
      <c r="DM281" s="139">
        <v>790</v>
      </c>
      <c r="DQ281" s="138">
        <v>790</v>
      </c>
      <c r="DR281" s="139">
        <v>-243</v>
      </c>
      <c r="DS281" s="139">
        <v>1230</v>
      </c>
      <c r="DT281" s="176"/>
      <c r="DU281" s="138">
        <v>-452</v>
      </c>
      <c r="DV281" s="151">
        <v>-516</v>
      </c>
      <c r="DW281" s="138">
        <v>-442</v>
      </c>
      <c r="DX281" s="138">
        <v>4325</v>
      </c>
      <c r="DY281" s="146">
        <v>3748</v>
      </c>
      <c r="DZ281" s="196">
        <v>95</v>
      </c>
      <c r="EA281" s="146">
        <v>482</v>
      </c>
      <c r="EB281" s="114">
        <v>20.75</v>
      </c>
      <c r="EC281" s="152"/>
      <c r="ED281" s="138">
        <v>2</v>
      </c>
      <c r="EE281" s="138">
        <v>4397</v>
      </c>
      <c r="EF281" s="138">
        <v>4471</v>
      </c>
      <c r="EG281" s="138">
        <v>4526</v>
      </c>
      <c r="EH281" s="138"/>
      <c r="EI281" s="138"/>
      <c r="EJ281" s="138"/>
      <c r="EK281" s="3">
        <v>-697</v>
      </c>
      <c r="EL281" s="138">
        <v>104</v>
      </c>
      <c r="EM281" s="138">
        <v>43</v>
      </c>
      <c r="EN281" s="3">
        <v>-890</v>
      </c>
      <c r="EO281" s="138">
        <v>6</v>
      </c>
      <c r="EP281" s="138">
        <v>35</v>
      </c>
      <c r="EQ281" s="3">
        <v>-2312</v>
      </c>
      <c r="ER281" s="138">
        <v>639</v>
      </c>
      <c r="ES281" s="138">
        <v>1</v>
      </c>
      <c r="ET281" s="163"/>
      <c r="EU281" s="163">
        <v>-700</v>
      </c>
      <c r="EV281" s="138"/>
      <c r="EW281" s="138"/>
      <c r="EX281" s="138">
        <v>1000</v>
      </c>
      <c r="EY281" s="138"/>
      <c r="EZ281" s="138">
        <v>3774</v>
      </c>
      <c r="FA281" s="138">
        <v>3288</v>
      </c>
      <c r="FB281" s="138">
        <v>486</v>
      </c>
      <c r="FC281" s="138">
        <v>451</v>
      </c>
      <c r="FD281" s="138">
        <v>3317</v>
      </c>
      <c r="FE281" s="138">
        <v>2801</v>
      </c>
      <c r="FF281" s="138">
        <v>516</v>
      </c>
      <c r="FG281" s="138">
        <v>451</v>
      </c>
      <c r="FH281" s="138">
        <v>3801</v>
      </c>
      <c r="FI281" s="138">
        <v>3261</v>
      </c>
      <c r="FJ281" s="138">
        <v>540</v>
      </c>
      <c r="FK281" s="138">
        <v>451</v>
      </c>
      <c r="FL281" s="147">
        <v>4512</v>
      </c>
      <c r="FM281" s="147">
        <v>4186.770428015564</v>
      </c>
      <c r="FO281" s="181">
        <f t="shared" si="12"/>
        <v>180.6265060240964</v>
      </c>
      <c r="FP281" s="179">
        <f t="shared" si="14"/>
        <v>141.22478969827708</v>
      </c>
      <c r="FR281" s="184"/>
      <c r="FV281" s="184">
        <v>563</v>
      </c>
      <c r="FW281" s="2">
        <f t="shared" si="13"/>
        <v>-563</v>
      </c>
    </row>
    <row r="282" spans="1:179" ht="12.75">
      <c r="A282" s="82">
        <v>892</v>
      </c>
      <c r="B282" s="80" t="s">
        <v>273</v>
      </c>
      <c r="C282" s="191">
        <v>3507</v>
      </c>
      <c r="D282" s="146"/>
      <c r="E282" s="150">
        <v>0.6936046511627907</v>
      </c>
      <c r="F282" s="150">
        <v>54.1</v>
      </c>
      <c r="G282" s="151">
        <v>-1532</v>
      </c>
      <c r="H282" s="152"/>
      <c r="I282" s="152"/>
      <c r="J282" s="152"/>
      <c r="K282" s="150">
        <v>57.3</v>
      </c>
      <c r="L282" s="151">
        <v>1288</v>
      </c>
      <c r="M282" s="151">
        <v>74</v>
      </c>
      <c r="N282" s="154">
        <v>9337.040205303678</v>
      </c>
      <c r="O282" s="146">
        <v>7821</v>
      </c>
      <c r="P282" s="139">
        <v>3143</v>
      </c>
      <c r="Q282" s="139">
        <v>19367</v>
      </c>
      <c r="R282" s="139">
        <v>-16224</v>
      </c>
      <c r="S282" s="146">
        <v>8496</v>
      </c>
      <c r="T282" s="139">
        <v>8120</v>
      </c>
      <c r="U282" s="160"/>
      <c r="W282" s="138">
        <v>-139</v>
      </c>
      <c r="X282" s="138">
        <v>101</v>
      </c>
      <c r="Y282" s="139">
        <v>354</v>
      </c>
      <c r="Z282" s="138">
        <v>797</v>
      </c>
      <c r="AC282" s="139">
        <v>-443</v>
      </c>
      <c r="AD282" s="138">
        <v>15</v>
      </c>
      <c r="AF282" s="138">
        <v>557</v>
      </c>
      <c r="AG282" s="139">
        <v>129</v>
      </c>
      <c r="AH282" s="139">
        <v>2464</v>
      </c>
      <c r="AI282" s="139">
        <v>-80</v>
      </c>
      <c r="AJ282" s="176"/>
      <c r="AK282" s="139">
        <v>-191</v>
      </c>
      <c r="AL282" s="151">
        <v>-881</v>
      </c>
      <c r="AM282" s="151">
        <v>-1141</v>
      </c>
      <c r="AN282" s="146">
        <v>8496</v>
      </c>
      <c r="AO282" s="139">
        <v>7586</v>
      </c>
      <c r="AP282" s="139">
        <v>566</v>
      </c>
      <c r="AQ282" s="139">
        <v>344</v>
      </c>
      <c r="AR282" s="114">
        <v>19.5</v>
      </c>
      <c r="AS282" s="152"/>
      <c r="AT282" s="138">
        <v>248</v>
      </c>
      <c r="AU282" s="191">
        <v>3569</v>
      </c>
      <c r="AV282" s="146"/>
      <c r="AW282" s="150">
        <v>-0.137117903930131</v>
      </c>
      <c r="AX282" s="150">
        <v>60.4</v>
      </c>
      <c r="AY282" s="151">
        <v>-2201</v>
      </c>
      <c r="AZ282" s="152"/>
      <c r="BA282" s="152"/>
      <c r="BB282" s="152"/>
      <c r="BC282" s="150">
        <v>51.9</v>
      </c>
      <c r="BD282" s="151">
        <v>957</v>
      </c>
      <c r="BE282" s="151">
        <v>52</v>
      </c>
      <c r="BF282" s="154">
        <v>6768.282432053797</v>
      </c>
      <c r="BG282" s="146">
        <v>8599</v>
      </c>
      <c r="BH282" s="139">
        <v>3286</v>
      </c>
      <c r="BI282" s="139">
        <v>20679</v>
      </c>
      <c r="BJ282" s="139">
        <v>-17393</v>
      </c>
      <c r="BK282" s="146">
        <v>8614</v>
      </c>
      <c r="BL282" s="146">
        <v>8252</v>
      </c>
      <c r="BM282" s="160"/>
      <c r="BO282" s="138">
        <v>-147</v>
      </c>
      <c r="BP282" s="138">
        <v>335</v>
      </c>
      <c r="BQ282" s="139">
        <v>-339</v>
      </c>
      <c r="BR282" s="138">
        <v>907</v>
      </c>
      <c r="BU282" s="139">
        <v>-1246</v>
      </c>
      <c r="BV282" s="138">
        <v>15</v>
      </c>
      <c r="BW282" s="138">
        <v>740</v>
      </c>
      <c r="BY282" s="138">
        <v>-491</v>
      </c>
      <c r="BZ282" s="139">
        <v>1973</v>
      </c>
      <c r="CA282" s="139">
        <v>-549</v>
      </c>
      <c r="CB282" s="176"/>
      <c r="CC282" s="139">
        <v>-114</v>
      </c>
      <c r="CD282" s="151">
        <v>-963</v>
      </c>
      <c r="CE282" s="151">
        <v>-2455</v>
      </c>
      <c r="CF282" s="138">
        <v>8614</v>
      </c>
      <c r="CG282" s="139">
        <v>7947</v>
      </c>
      <c r="CH282" s="139">
        <v>314</v>
      </c>
      <c r="CI282" s="139">
        <v>353</v>
      </c>
      <c r="CJ282" s="114">
        <v>19.5</v>
      </c>
      <c r="CK282" s="152"/>
      <c r="CL282" s="138">
        <v>283</v>
      </c>
      <c r="CM282" s="190">
        <v>3594</v>
      </c>
      <c r="CN282" s="146"/>
      <c r="CO282" s="150">
        <v>1.022239872915012</v>
      </c>
      <c r="CP282" s="150">
        <v>62.20017698290718</v>
      </c>
      <c r="CQ282" s="151">
        <v>-2415.4145798553145</v>
      </c>
      <c r="CR282" s="152"/>
      <c r="CS282" s="152"/>
      <c r="CT282" s="152"/>
      <c r="CU282" s="150">
        <v>50.18172377985462</v>
      </c>
      <c r="CV282" s="151">
        <v>952.6989426822482</v>
      </c>
      <c r="CW282" s="151">
        <v>50.17907331566691</v>
      </c>
      <c r="CX282" s="154">
        <v>6929.883138564274</v>
      </c>
      <c r="CY282" s="146">
        <v>8723</v>
      </c>
      <c r="CZ282" s="139">
        <v>3414</v>
      </c>
      <c r="DA282" s="139">
        <v>20468</v>
      </c>
      <c r="DB282" s="139">
        <v>-17054</v>
      </c>
      <c r="DC282" s="146">
        <v>9147</v>
      </c>
      <c r="DD282" s="146">
        <v>8948</v>
      </c>
      <c r="DE282" s="160"/>
      <c r="DG282" s="138">
        <v>-103</v>
      </c>
      <c r="DH282" s="138">
        <v>231</v>
      </c>
      <c r="DI282" s="139">
        <v>1169</v>
      </c>
      <c r="DJ282" s="138">
        <v>913</v>
      </c>
      <c r="DM282" s="139">
        <v>256</v>
      </c>
      <c r="DN282" s="138">
        <v>15</v>
      </c>
      <c r="DO282" s="138">
        <v>100</v>
      </c>
      <c r="DQ282" s="138">
        <v>371</v>
      </c>
      <c r="DR282" s="139">
        <v>2343</v>
      </c>
      <c r="DS282" s="139">
        <v>1081</v>
      </c>
      <c r="DT282" s="176"/>
      <c r="DU282" s="139">
        <v>-341</v>
      </c>
      <c r="DV282" s="151">
        <v>-1140</v>
      </c>
      <c r="DW282" s="138">
        <v>-1262</v>
      </c>
      <c r="DX282" s="138">
        <v>9147</v>
      </c>
      <c r="DY282" s="146">
        <v>8398</v>
      </c>
      <c r="DZ282" s="196">
        <v>377</v>
      </c>
      <c r="EA282" s="146">
        <v>372</v>
      </c>
      <c r="EB282" s="114">
        <v>19.5</v>
      </c>
      <c r="EC282" s="152"/>
      <c r="ED282" s="138">
        <v>126</v>
      </c>
      <c r="EE282" s="138">
        <v>8826</v>
      </c>
      <c r="EF282" s="138">
        <v>9205</v>
      </c>
      <c r="EG282" s="138">
        <v>8768</v>
      </c>
      <c r="EH282" s="138"/>
      <c r="EI282" s="138"/>
      <c r="EJ282" s="138"/>
      <c r="EK282" s="3">
        <v>-1687</v>
      </c>
      <c r="EL282" s="138">
        <v>38</v>
      </c>
      <c r="EM282" s="138">
        <v>588</v>
      </c>
      <c r="EN282" s="3">
        <v>-2297</v>
      </c>
      <c r="EO282" s="138">
        <v>140</v>
      </c>
      <c r="EP282" s="138">
        <v>251</v>
      </c>
      <c r="EQ282" s="3">
        <v>-3180</v>
      </c>
      <c r="ER282" s="138">
        <v>612</v>
      </c>
      <c r="ES282" s="138">
        <v>225</v>
      </c>
      <c r="ET282" s="163">
        <v>1100</v>
      </c>
      <c r="EU282" s="163"/>
      <c r="EV282" s="138">
        <v>2000</v>
      </c>
      <c r="EW282" s="138"/>
      <c r="EX282" s="138">
        <v>2500</v>
      </c>
      <c r="EY282" s="138"/>
      <c r="EZ282" s="138">
        <v>7608</v>
      </c>
      <c r="FA282" s="138">
        <v>6645</v>
      </c>
      <c r="FB282" s="138">
        <v>963</v>
      </c>
      <c r="FC282" s="138">
        <v>949</v>
      </c>
      <c r="FD282" s="138">
        <v>8645</v>
      </c>
      <c r="FE282" s="138">
        <v>7506</v>
      </c>
      <c r="FF282" s="138">
        <v>1139</v>
      </c>
      <c r="FG282" s="138">
        <v>949</v>
      </c>
      <c r="FH282" s="138">
        <v>10006</v>
      </c>
      <c r="FI282" s="138">
        <v>8925</v>
      </c>
      <c r="FJ282" s="138">
        <v>1081</v>
      </c>
      <c r="FK282" s="138">
        <v>484</v>
      </c>
      <c r="FL282" s="147">
        <v>3908</v>
      </c>
      <c r="FM282" s="147">
        <v>4205.379658167554</v>
      </c>
      <c r="FO282" s="181">
        <f t="shared" si="12"/>
        <v>430.6666666666667</v>
      </c>
      <c r="FP282" s="179">
        <f t="shared" si="14"/>
        <v>119.82934520497125</v>
      </c>
      <c r="FR282" s="184"/>
      <c r="FV282" s="184">
        <v>881</v>
      </c>
      <c r="FW282" s="2">
        <f t="shared" si="13"/>
        <v>-881</v>
      </c>
    </row>
    <row r="283" spans="1:179" ht="12.75">
      <c r="A283" s="82">
        <v>893</v>
      </c>
      <c r="B283" s="80" t="s">
        <v>274</v>
      </c>
      <c r="C283" s="191">
        <v>7516</v>
      </c>
      <c r="D283" s="146"/>
      <c r="E283" s="150">
        <v>3.302065404475043</v>
      </c>
      <c r="F283" s="150">
        <v>48.8</v>
      </c>
      <c r="G283" s="151">
        <v>-2436</v>
      </c>
      <c r="H283" s="152"/>
      <c r="I283" s="152"/>
      <c r="J283" s="152"/>
      <c r="K283" s="150">
        <v>55.6</v>
      </c>
      <c r="L283" s="151">
        <v>317</v>
      </c>
      <c r="M283" s="151">
        <v>15</v>
      </c>
      <c r="N283" s="154">
        <v>7268.626929217669</v>
      </c>
      <c r="O283" s="146">
        <v>15086</v>
      </c>
      <c r="P283" s="139">
        <v>12804</v>
      </c>
      <c r="Q283" s="139">
        <v>48119</v>
      </c>
      <c r="R283" s="139">
        <v>-35315</v>
      </c>
      <c r="S283" s="146">
        <v>22459</v>
      </c>
      <c r="T283" s="139">
        <v>16293</v>
      </c>
      <c r="U283" s="160"/>
      <c r="W283" s="138">
        <v>-268</v>
      </c>
      <c r="X283" s="138">
        <v>389</v>
      </c>
      <c r="Y283" s="139">
        <v>3558</v>
      </c>
      <c r="Z283" s="138">
        <v>2747</v>
      </c>
      <c r="AA283" s="138">
        <v>490</v>
      </c>
      <c r="AC283" s="139">
        <v>1301</v>
      </c>
      <c r="AD283" s="139">
        <v>62</v>
      </c>
      <c r="AE283" s="138">
        <v>18</v>
      </c>
      <c r="AG283" s="139">
        <v>1381</v>
      </c>
      <c r="AH283" s="139">
        <v>9771</v>
      </c>
      <c r="AI283" s="139">
        <v>3923</v>
      </c>
      <c r="AJ283" s="176"/>
      <c r="AK283" s="138">
        <v>-527</v>
      </c>
      <c r="AL283" s="151">
        <v>-883</v>
      </c>
      <c r="AM283" s="151">
        <v>-3185</v>
      </c>
      <c r="AN283" s="146">
        <v>22459</v>
      </c>
      <c r="AO283" s="139">
        <v>19402</v>
      </c>
      <c r="AP283" s="139">
        <v>1724</v>
      </c>
      <c r="AQ283" s="139">
        <v>1333</v>
      </c>
      <c r="AR283" s="114">
        <v>19.75</v>
      </c>
      <c r="AS283" s="152"/>
      <c r="AT283" s="138">
        <v>46</v>
      </c>
      <c r="AU283" s="191">
        <v>7531</v>
      </c>
      <c r="AV283" s="146"/>
      <c r="AW283" s="150">
        <v>2.7349019607843137</v>
      </c>
      <c r="AX283" s="150">
        <v>55.9</v>
      </c>
      <c r="AY283" s="151">
        <v>-2945</v>
      </c>
      <c r="AZ283" s="152"/>
      <c r="BA283" s="152"/>
      <c r="BB283" s="152"/>
      <c r="BC283" s="150">
        <v>55.9</v>
      </c>
      <c r="BD283" s="151">
        <v>454</v>
      </c>
      <c r="BE283" s="151">
        <v>21</v>
      </c>
      <c r="BF283" s="154">
        <v>7904.79352011685</v>
      </c>
      <c r="BG283" s="146">
        <v>16003</v>
      </c>
      <c r="BH283" s="139">
        <v>13512</v>
      </c>
      <c r="BI283" s="139">
        <v>51403</v>
      </c>
      <c r="BJ283" s="139">
        <v>-37891</v>
      </c>
      <c r="BK283" s="146">
        <v>23481</v>
      </c>
      <c r="BL283" s="146">
        <v>17266</v>
      </c>
      <c r="BM283" s="160"/>
      <c r="BO283" s="138">
        <v>-292</v>
      </c>
      <c r="BP283" s="138">
        <v>627</v>
      </c>
      <c r="BQ283" s="139">
        <v>3191</v>
      </c>
      <c r="BR283" s="138">
        <v>2714</v>
      </c>
      <c r="BU283" s="139">
        <v>477</v>
      </c>
      <c r="BV283" s="139">
        <v>62</v>
      </c>
      <c r="BW283" s="138">
        <v>18</v>
      </c>
      <c r="BY283" s="138">
        <v>557</v>
      </c>
      <c r="BZ283" s="139">
        <v>10328</v>
      </c>
      <c r="CA283" s="139">
        <v>3101</v>
      </c>
      <c r="CB283" s="176"/>
      <c r="CC283" s="138">
        <v>-242</v>
      </c>
      <c r="CD283" s="151">
        <v>-979</v>
      </c>
      <c r="CE283" s="151">
        <v>-3876</v>
      </c>
      <c r="CF283" s="138">
        <v>23481</v>
      </c>
      <c r="CG283" s="139">
        <v>20352</v>
      </c>
      <c r="CH283" s="139">
        <v>1763</v>
      </c>
      <c r="CI283" s="139">
        <v>1366</v>
      </c>
      <c r="CJ283" s="114">
        <v>19.75</v>
      </c>
      <c r="CK283" s="152"/>
      <c r="CL283" s="138">
        <v>33</v>
      </c>
      <c r="CM283" s="190">
        <v>7524</v>
      </c>
      <c r="CN283" s="146"/>
      <c r="CO283" s="150">
        <v>2.362248014660965</v>
      </c>
      <c r="CP283" s="150">
        <v>55.24769837790443</v>
      </c>
      <c r="CQ283" s="151">
        <v>-3205.209994683679</v>
      </c>
      <c r="CR283" s="152"/>
      <c r="CS283" s="152"/>
      <c r="CT283" s="152"/>
      <c r="CU283" s="150">
        <v>55.20115782295885</v>
      </c>
      <c r="CV283" s="151">
        <v>318.44763423710793</v>
      </c>
      <c r="CW283" s="151">
        <v>14.349894985560516</v>
      </c>
      <c r="CX283" s="154">
        <v>8099.946836788941</v>
      </c>
      <c r="CY283" s="146">
        <v>16850</v>
      </c>
      <c r="CZ283" s="139">
        <v>14550</v>
      </c>
      <c r="DA283" s="139">
        <v>53896</v>
      </c>
      <c r="DB283" s="139">
        <v>-39346</v>
      </c>
      <c r="DC283" s="146">
        <v>25738</v>
      </c>
      <c r="DD283" s="146">
        <v>17162</v>
      </c>
      <c r="DE283" s="160"/>
      <c r="DG283" s="138">
        <v>-248</v>
      </c>
      <c r="DH283" s="138">
        <v>312</v>
      </c>
      <c r="DI283" s="139">
        <v>3618</v>
      </c>
      <c r="DJ283" s="138">
        <v>2938</v>
      </c>
      <c r="DM283" s="139">
        <v>680</v>
      </c>
      <c r="DN283" s="139">
        <v>62</v>
      </c>
      <c r="DO283" s="138">
        <v>18</v>
      </c>
      <c r="DQ283" s="138">
        <v>760</v>
      </c>
      <c r="DR283" s="139">
        <v>11112</v>
      </c>
      <c r="DS283" s="139">
        <v>3424</v>
      </c>
      <c r="DT283" s="176"/>
      <c r="DU283" s="138">
        <v>-401</v>
      </c>
      <c r="DV283" s="151">
        <v>-1388</v>
      </c>
      <c r="DW283" s="138">
        <v>-2113</v>
      </c>
      <c r="DX283" s="138">
        <v>25738</v>
      </c>
      <c r="DY283" s="146">
        <v>21337</v>
      </c>
      <c r="DZ283" s="196">
        <v>3009</v>
      </c>
      <c r="EA283" s="146">
        <v>1392</v>
      </c>
      <c r="EB283" s="114">
        <v>20</v>
      </c>
      <c r="EC283" s="152"/>
      <c r="ED283" s="138">
        <v>63</v>
      </c>
      <c r="EE283" s="138">
        <v>25497</v>
      </c>
      <c r="EF283" s="138">
        <v>27131</v>
      </c>
      <c r="EG283" s="138">
        <v>28377</v>
      </c>
      <c r="EH283" s="138"/>
      <c r="EI283" s="138"/>
      <c r="EJ283" s="138"/>
      <c r="EK283" s="3">
        <v>-7414</v>
      </c>
      <c r="EL283" s="138">
        <v>101</v>
      </c>
      <c r="EM283" s="138">
        <v>205</v>
      </c>
      <c r="EN283" s="3">
        <v>-7098</v>
      </c>
      <c r="EO283" s="138">
        <v>11</v>
      </c>
      <c r="EP283" s="138">
        <v>110</v>
      </c>
      <c r="EQ283" s="3">
        <v>-5741</v>
      </c>
      <c r="ER283" s="138">
        <v>9</v>
      </c>
      <c r="ES283" s="138">
        <v>195</v>
      </c>
      <c r="ET283" s="163">
        <v>2500</v>
      </c>
      <c r="EU283" s="163">
        <v>600</v>
      </c>
      <c r="EV283" s="138">
        <v>4000</v>
      </c>
      <c r="EW283" s="138">
        <v>1000</v>
      </c>
      <c r="EX283" s="138">
        <v>3000</v>
      </c>
      <c r="EY283" s="138">
        <v>-700</v>
      </c>
      <c r="EZ283" s="138">
        <v>12062</v>
      </c>
      <c r="FA283" s="138">
        <v>6683</v>
      </c>
      <c r="FB283" s="138">
        <v>5379</v>
      </c>
      <c r="FC283" s="138">
        <v>714</v>
      </c>
      <c r="FD283" s="138">
        <v>16084</v>
      </c>
      <c r="FE283" s="138">
        <v>9296</v>
      </c>
      <c r="FF283" s="138">
        <v>6788</v>
      </c>
      <c r="FG283" s="138">
        <v>714</v>
      </c>
      <c r="FH283" s="138">
        <v>16996</v>
      </c>
      <c r="FI283" s="138">
        <v>10608</v>
      </c>
      <c r="FJ283" s="138">
        <v>6388</v>
      </c>
      <c r="FK283" s="138">
        <v>754</v>
      </c>
      <c r="FL283" s="147">
        <v>2526</v>
      </c>
      <c r="FM283" s="147">
        <v>3056.0350551055635</v>
      </c>
      <c r="FO283" s="181">
        <f t="shared" si="12"/>
        <v>1066.85</v>
      </c>
      <c r="FP283" s="179">
        <f t="shared" si="14"/>
        <v>141.79292929292927</v>
      </c>
      <c r="FR283" s="184"/>
      <c r="FV283" s="184">
        <v>883</v>
      </c>
      <c r="FW283" s="2">
        <f t="shared" si="13"/>
        <v>-883</v>
      </c>
    </row>
    <row r="284" spans="1:179" ht="12.75">
      <c r="A284" s="82">
        <v>895</v>
      </c>
      <c r="B284" s="80" t="s">
        <v>275</v>
      </c>
      <c r="C284" s="191">
        <v>15685</v>
      </c>
      <c r="D284" s="146"/>
      <c r="E284" s="150">
        <v>1.0361033302209772</v>
      </c>
      <c r="F284" s="150">
        <v>37.7</v>
      </c>
      <c r="G284" s="151">
        <v>-1355</v>
      </c>
      <c r="H284" s="152"/>
      <c r="I284" s="152"/>
      <c r="J284" s="152"/>
      <c r="K284" s="150">
        <v>64.1</v>
      </c>
      <c r="L284" s="151">
        <v>876</v>
      </c>
      <c r="M284" s="151">
        <v>43</v>
      </c>
      <c r="N284" s="154">
        <v>11472.93592604399</v>
      </c>
      <c r="O284" s="146">
        <v>44366</v>
      </c>
      <c r="P284" s="139">
        <v>30831</v>
      </c>
      <c r="Q284" s="139">
        <v>101815</v>
      </c>
      <c r="R284" s="139">
        <v>-70984</v>
      </c>
      <c r="S284" s="146">
        <v>54096</v>
      </c>
      <c r="T284" s="139">
        <v>21710</v>
      </c>
      <c r="U284" s="160"/>
      <c r="W284" s="138">
        <v>-540</v>
      </c>
      <c r="X284" s="138">
        <v>-10</v>
      </c>
      <c r="Y284" s="139">
        <v>4272</v>
      </c>
      <c r="Z284" s="138">
        <v>4883</v>
      </c>
      <c r="AA284" s="138">
        <v>50</v>
      </c>
      <c r="AC284" s="139">
        <v>-561</v>
      </c>
      <c r="AD284" s="139">
        <v>1281</v>
      </c>
      <c r="AE284" s="138">
        <v>240</v>
      </c>
      <c r="AF284" s="138">
        <v>-61</v>
      </c>
      <c r="AG284" s="139">
        <v>899</v>
      </c>
      <c r="AH284" s="139">
        <v>-2809</v>
      </c>
      <c r="AI284" s="139">
        <v>2696</v>
      </c>
      <c r="AJ284" s="176"/>
      <c r="AK284" s="138">
        <v>-510</v>
      </c>
      <c r="AL284" s="151">
        <v>-4040</v>
      </c>
      <c r="AM284" s="151">
        <v>2467</v>
      </c>
      <c r="AN284" s="146">
        <v>54096</v>
      </c>
      <c r="AO284" s="139">
        <v>46160</v>
      </c>
      <c r="AP284" s="139">
        <v>4455</v>
      </c>
      <c r="AQ284" s="139">
        <v>3481</v>
      </c>
      <c r="AR284" s="114">
        <v>20.25</v>
      </c>
      <c r="AS284" s="152"/>
      <c r="AT284" s="138">
        <v>151</v>
      </c>
      <c r="AU284" s="191">
        <v>15499</v>
      </c>
      <c r="AV284" s="146"/>
      <c r="AW284" s="150">
        <v>0.3084167157151265</v>
      </c>
      <c r="AX284" s="150">
        <v>37.1</v>
      </c>
      <c r="AY284" s="151">
        <v>-1657</v>
      </c>
      <c r="AZ284" s="152"/>
      <c r="BA284" s="152"/>
      <c r="BB284" s="152"/>
      <c r="BC284" s="150">
        <v>66.6</v>
      </c>
      <c r="BD284" s="151">
        <v>618</v>
      </c>
      <c r="BE284" s="151">
        <v>30</v>
      </c>
      <c r="BF284" s="154">
        <v>7636.105555197109</v>
      </c>
      <c r="BG284" s="146">
        <v>45720</v>
      </c>
      <c r="BH284" s="139">
        <v>30262</v>
      </c>
      <c r="BI284" s="139">
        <v>105847</v>
      </c>
      <c r="BJ284" s="139">
        <v>-75585</v>
      </c>
      <c r="BK284" s="146">
        <v>54036</v>
      </c>
      <c r="BL284" s="146">
        <v>22472</v>
      </c>
      <c r="BM284" s="160"/>
      <c r="BO284" s="138">
        <v>-394</v>
      </c>
      <c r="BP284" s="138">
        <v>413</v>
      </c>
      <c r="BQ284" s="139">
        <v>942</v>
      </c>
      <c r="BR284" s="138">
        <v>5044</v>
      </c>
      <c r="BS284" s="138">
        <v>10450</v>
      </c>
      <c r="BU284" s="139">
        <v>6348</v>
      </c>
      <c r="BV284" s="139">
        <v>792</v>
      </c>
      <c r="BW284" s="138">
        <v>213</v>
      </c>
      <c r="BX284" s="138">
        <v>-29</v>
      </c>
      <c r="BY284" s="138">
        <v>7324</v>
      </c>
      <c r="BZ284" s="139">
        <v>4516</v>
      </c>
      <c r="CA284" s="139">
        <v>9240</v>
      </c>
      <c r="CB284" s="176"/>
      <c r="CC284" s="138">
        <v>832</v>
      </c>
      <c r="CD284" s="151">
        <v>-4467</v>
      </c>
      <c r="CE284" s="151">
        <v>4933</v>
      </c>
      <c r="CF284" s="138">
        <v>54036</v>
      </c>
      <c r="CG284" s="139">
        <v>48377</v>
      </c>
      <c r="CH284" s="139">
        <v>2059</v>
      </c>
      <c r="CI284" s="139">
        <v>3600</v>
      </c>
      <c r="CJ284" s="114">
        <v>20.25</v>
      </c>
      <c r="CK284" s="152"/>
      <c r="CL284" s="138">
        <v>214</v>
      </c>
      <c r="CM284" s="190">
        <v>15463</v>
      </c>
      <c r="CN284" s="146"/>
      <c r="CO284" s="150">
        <v>0.17462221156152555</v>
      </c>
      <c r="CP284" s="150">
        <v>44.570534698521044</v>
      </c>
      <c r="CQ284" s="151">
        <v>-2133.609260816142</v>
      </c>
      <c r="CR284" s="152"/>
      <c r="CS284" s="152"/>
      <c r="CT284" s="152"/>
      <c r="CU284" s="150">
        <v>61.753773457133825</v>
      </c>
      <c r="CV284" s="151">
        <v>640.3026579577055</v>
      </c>
      <c r="CW284" s="151">
        <v>30.549600574834102</v>
      </c>
      <c r="CX284" s="154">
        <v>7650.197245036539</v>
      </c>
      <c r="CY284" s="146">
        <v>46160</v>
      </c>
      <c r="CZ284" s="139">
        <v>26883</v>
      </c>
      <c r="DA284" s="139">
        <v>105810</v>
      </c>
      <c r="DB284" s="139">
        <v>-78927</v>
      </c>
      <c r="DC284" s="146">
        <v>56322</v>
      </c>
      <c r="DD284" s="146">
        <v>22753</v>
      </c>
      <c r="DE284" s="160"/>
      <c r="DG284" s="138">
        <v>-100</v>
      </c>
      <c r="DH284" s="138">
        <v>364</v>
      </c>
      <c r="DI284" s="139">
        <v>412</v>
      </c>
      <c r="DJ284" s="138">
        <v>4646</v>
      </c>
      <c r="DM284" s="139">
        <v>-4234</v>
      </c>
      <c r="DN284" s="139">
        <v>347</v>
      </c>
      <c r="DO284" s="138">
        <v>61</v>
      </c>
      <c r="DP284" s="138">
        <v>-32</v>
      </c>
      <c r="DQ284" s="138">
        <v>-3858</v>
      </c>
      <c r="DR284" s="139">
        <v>658</v>
      </c>
      <c r="DS284" s="139">
        <v>159</v>
      </c>
      <c r="DT284" s="176"/>
      <c r="DU284" s="138">
        <v>63</v>
      </c>
      <c r="DV284" s="151">
        <v>-3853</v>
      </c>
      <c r="DW284" s="138">
        <v>-5536</v>
      </c>
      <c r="DX284" s="138">
        <v>56322</v>
      </c>
      <c r="DY284" s="146">
        <v>49544</v>
      </c>
      <c r="DZ284" s="196">
        <v>2966</v>
      </c>
      <c r="EA284" s="146">
        <v>3812</v>
      </c>
      <c r="EB284" s="114">
        <v>20.25</v>
      </c>
      <c r="EC284" s="152"/>
      <c r="ED284" s="138">
        <v>267</v>
      </c>
      <c r="EE284" s="138">
        <v>43763</v>
      </c>
      <c r="EF284" s="138">
        <v>45939</v>
      </c>
      <c r="EG284" s="138">
        <v>46211</v>
      </c>
      <c r="EH284" s="138"/>
      <c r="EI284" s="138"/>
      <c r="EJ284" s="138"/>
      <c r="EK284" s="3">
        <v>-8665</v>
      </c>
      <c r="EL284" s="138">
        <v>997</v>
      </c>
      <c r="EM284" s="138">
        <v>7439</v>
      </c>
      <c r="EN284" s="3">
        <v>-7476</v>
      </c>
      <c r="EO284" s="138">
        <v>182</v>
      </c>
      <c r="EP284" s="138">
        <v>2987</v>
      </c>
      <c r="EQ284" s="3">
        <v>-6208</v>
      </c>
      <c r="ER284" s="138">
        <v>257</v>
      </c>
      <c r="ES284" s="138">
        <v>256</v>
      </c>
      <c r="ET284" s="163">
        <v>4000</v>
      </c>
      <c r="EU284" s="163">
        <v>142</v>
      </c>
      <c r="EV284" s="138">
        <v>1500</v>
      </c>
      <c r="EW284" s="138">
        <v>1463</v>
      </c>
      <c r="EX284" s="138"/>
      <c r="EY284" s="138">
        <v>10500</v>
      </c>
      <c r="EZ284" s="138">
        <v>28158</v>
      </c>
      <c r="FA284" s="138">
        <v>24268</v>
      </c>
      <c r="FB284" s="138">
        <v>3890</v>
      </c>
      <c r="FC284" s="138">
        <v>2748</v>
      </c>
      <c r="FD284" s="138">
        <v>26655</v>
      </c>
      <c r="FE284" s="138">
        <v>21302</v>
      </c>
      <c r="FF284" s="138">
        <v>5353</v>
      </c>
      <c r="FG284" s="138">
        <v>2837</v>
      </c>
      <c r="FH284" s="138">
        <v>33301</v>
      </c>
      <c r="FI284" s="138">
        <v>17448</v>
      </c>
      <c r="FJ284" s="138">
        <v>15853</v>
      </c>
      <c r="FK284" s="138">
        <v>4667</v>
      </c>
      <c r="FL284" s="147">
        <v>4328</v>
      </c>
      <c r="FM284" s="147">
        <v>4355.764888057294</v>
      </c>
      <c r="FO284" s="181">
        <f t="shared" si="12"/>
        <v>2446.617283950617</v>
      </c>
      <c r="FP284" s="179">
        <f t="shared" si="14"/>
        <v>158.22397231783074</v>
      </c>
      <c r="FR284" s="184"/>
      <c r="FV284" s="184">
        <v>4040</v>
      </c>
      <c r="FW284" s="2">
        <f t="shared" si="13"/>
        <v>-4040</v>
      </c>
    </row>
    <row r="285" spans="1:179" ht="12.75">
      <c r="A285" s="82">
        <v>785</v>
      </c>
      <c r="B285" s="80" t="s">
        <v>250</v>
      </c>
      <c r="C285" s="191">
        <v>3314</v>
      </c>
      <c r="D285" s="146"/>
      <c r="E285" s="150">
        <v>0.7168262653898769</v>
      </c>
      <c r="F285" s="150">
        <v>62.3</v>
      </c>
      <c r="G285" s="151">
        <v>-3858</v>
      </c>
      <c r="H285" s="152"/>
      <c r="I285" s="152"/>
      <c r="J285" s="152"/>
      <c r="K285" s="150">
        <v>40.4</v>
      </c>
      <c r="L285" s="151">
        <v>435</v>
      </c>
      <c r="M285" s="151">
        <v>17</v>
      </c>
      <c r="N285" s="154">
        <v>8386.843693421846</v>
      </c>
      <c r="O285" s="146">
        <v>7686</v>
      </c>
      <c r="P285" s="139">
        <v>3994</v>
      </c>
      <c r="Q285" s="139">
        <v>24929</v>
      </c>
      <c r="R285" s="139">
        <v>-20935</v>
      </c>
      <c r="S285" s="146">
        <v>10651</v>
      </c>
      <c r="T285" s="139">
        <v>11525</v>
      </c>
      <c r="U285" s="160"/>
      <c r="W285" s="138">
        <v>-250</v>
      </c>
      <c r="X285" s="138">
        <v>6</v>
      </c>
      <c r="Y285" s="139">
        <v>997</v>
      </c>
      <c r="Z285" s="138">
        <v>1081</v>
      </c>
      <c r="AC285" s="139">
        <v>-84</v>
      </c>
      <c r="AD285" s="138">
        <v>62</v>
      </c>
      <c r="AE285" s="139"/>
      <c r="AG285" s="139">
        <v>-22</v>
      </c>
      <c r="AH285" s="139">
        <v>-2399</v>
      </c>
      <c r="AI285" s="139">
        <v>898</v>
      </c>
      <c r="AJ285" s="176"/>
      <c r="AK285" s="139">
        <v>410</v>
      </c>
      <c r="AL285" s="151">
        <v>-1411</v>
      </c>
      <c r="AM285" s="151">
        <v>-2180</v>
      </c>
      <c r="AN285" s="146">
        <v>10651</v>
      </c>
      <c r="AO285" s="139">
        <v>7592</v>
      </c>
      <c r="AP285" s="139">
        <v>783</v>
      </c>
      <c r="AQ285" s="139">
        <v>2276</v>
      </c>
      <c r="AR285" s="114">
        <v>21</v>
      </c>
      <c r="AS285" s="152"/>
      <c r="AT285" s="138">
        <v>125</v>
      </c>
      <c r="AU285" s="191">
        <v>3250</v>
      </c>
      <c r="AV285" s="146"/>
      <c r="AW285" s="150">
        <v>0.7961876832844574</v>
      </c>
      <c r="AX285" s="150">
        <v>74.3</v>
      </c>
      <c r="AY285" s="151">
        <v>-5049</v>
      </c>
      <c r="AZ285" s="152"/>
      <c r="BA285" s="152"/>
      <c r="BB285" s="152"/>
      <c r="BC285" s="150">
        <v>35.4</v>
      </c>
      <c r="BD285" s="151">
        <v>508</v>
      </c>
      <c r="BE285" s="151">
        <v>17</v>
      </c>
      <c r="BF285" s="154">
        <v>10812.307692307693</v>
      </c>
      <c r="BG285" s="146">
        <v>7802</v>
      </c>
      <c r="BH285" s="139">
        <v>4183</v>
      </c>
      <c r="BI285" s="139">
        <v>25905</v>
      </c>
      <c r="BJ285" s="139">
        <v>-21722</v>
      </c>
      <c r="BK285" s="146">
        <v>10617</v>
      </c>
      <c r="BL285" s="146">
        <v>12711</v>
      </c>
      <c r="BM285" s="160"/>
      <c r="BO285" s="138">
        <v>-252</v>
      </c>
      <c r="BP285" s="138">
        <v>12</v>
      </c>
      <c r="BQ285" s="139">
        <v>1366</v>
      </c>
      <c r="BR285" s="138">
        <v>1198</v>
      </c>
      <c r="BU285" s="139">
        <v>168</v>
      </c>
      <c r="BV285" s="138">
        <v>61</v>
      </c>
      <c r="BW285" s="139"/>
      <c r="BY285" s="138">
        <v>229</v>
      </c>
      <c r="BZ285" s="139">
        <v>-2171</v>
      </c>
      <c r="CA285" s="139">
        <v>1459</v>
      </c>
      <c r="CB285" s="176"/>
      <c r="CC285" s="139">
        <v>-336</v>
      </c>
      <c r="CD285" s="151">
        <v>-1783</v>
      </c>
      <c r="CE285" s="151">
        <v>-3597</v>
      </c>
      <c r="CF285" s="138">
        <v>10617</v>
      </c>
      <c r="CG285" s="139">
        <v>7835</v>
      </c>
      <c r="CH285" s="139">
        <v>488</v>
      </c>
      <c r="CI285" s="139">
        <v>2294</v>
      </c>
      <c r="CJ285" s="114">
        <v>21</v>
      </c>
      <c r="CK285" s="152"/>
      <c r="CL285" s="138">
        <v>35</v>
      </c>
      <c r="CM285" s="190">
        <v>3193</v>
      </c>
      <c r="CN285" s="146"/>
      <c r="CO285" s="150">
        <v>1.1888509670079637</v>
      </c>
      <c r="CP285" s="150">
        <v>65.84319841213582</v>
      </c>
      <c r="CQ285" s="151">
        <v>-4524.271844660194</v>
      </c>
      <c r="CR285" s="152"/>
      <c r="CS285" s="152"/>
      <c r="CT285" s="152"/>
      <c r="CU285" s="150">
        <v>40.527309378299684</v>
      </c>
      <c r="CV285" s="151">
        <v>626.056999686815</v>
      </c>
      <c r="CW285" s="151">
        <v>25.357440745117117</v>
      </c>
      <c r="CX285" s="154">
        <v>9011.587848418416</v>
      </c>
      <c r="CY285" s="146">
        <v>7671</v>
      </c>
      <c r="CZ285" s="139">
        <v>4110</v>
      </c>
      <c r="DA285" s="139">
        <v>25141</v>
      </c>
      <c r="DB285" s="139">
        <v>-21031</v>
      </c>
      <c r="DC285" s="146">
        <v>11228</v>
      </c>
      <c r="DD285" s="146">
        <v>12894</v>
      </c>
      <c r="DE285" s="160"/>
      <c r="DG285" s="138">
        <v>-255</v>
      </c>
      <c r="DH285" s="138">
        <v>41</v>
      </c>
      <c r="DI285" s="139">
        <v>2877</v>
      </c>
      <c r="DJ285" s="138">
        <v>1419</v>
      </c>
      <c r="DM285" s="139">
        <v>1458</v>
      </c>
      <c r="DN285" s="138">
        <v>63</v>
      </c>
      <c r="DO285" s="139"/>
      <c r="DQ285" s="138">
        <v>1521</v>
      </c>
      <c r="DR285" s="139">
        <v>-650</v>
      </c>
      <c r="DS285" s="139">
        <v>2856</v>
      </c>
      <c r="DT285" s="176"/>
      <c r="DU285" s="139">
        <v>238</v>
      </c>
      <c r="DV285" s="151">
        <v>-2378</v>
      </c>
      <c r="DW285" s="138">
        <v>1968</v>
      </c>
      <c r="DX285" s="138">
        <v>11228</v>
      </c>
      <c r="DY285" s="146">
        <v>8324</v>
      </c>
      <c r="DZ285" s="196">
        <v>561</v>
      </c>
      <c r="EA285" s="146">
        <v>2343</v>
      </c>
      <c r="EB285" s="114">
        <v>21.5</v>
      </c>
      <c r="EC285" s="152"/>
      <c r="ED285" s="138">
        <v>4</v>
      </c>
      <c r="EE285" s="138">
        <v>14813</v>
      </c>
      <c r="EF285" s="138">
        <v>15618</v>
      </c>
      <c r="EG285" s="138">
        <v>15101</v>
      </c>
      <c r="EH285" s="138"/>
      <c r="EI285" s="138"/>
      <c r="EJ285" s="138"/>
      <c r="EK285" s="3">
        <v>-5027</v>
      </c>
      <c r="EL285" s="138">
        <v>1848</v>
      </c>
      <c r="EM285" s="138">
        <v>101</v>
      </c>
      <c r="EN285" s="3">
        <v>-7171</v>
      </c>
      <c r="EO285" s="138">
        <v>2085</v>
      </c>
      <c r="EP285" s="138">
        <v>30</v>
      </c>
      <c r="EQ285" s="3">
        <v>-1011</v>
      </c>
      <c r="ER285" s="138">
        <v>74</v>
      </c>
      <c r="ES285" s="138">
        <v>49</v>
      </c>
      <c r="ET285" s="163">
        <v>3000</v>
      </c>
      <c r="EU285" s="163">
        <v>-300</v>
      </c>
      <c r="EV285" s="138">
        <v>5300</v>
      </c>
      <c r="EW285" s="138">
        <v>900</v>
      </c>
      <c r="EX285" s="138">
        <v>3300</v>
      </c>
      <c r="EY285" s="138">
        <v>-1900</v>
      </c>
      <c r="EZ285" s="138">
        <v>13061</v>
      </c>
      <c r="FA285" s="138">
        <v>7875</v>
      </c>
      <c r="FB285" s="138">
        <v>5186</v>
      </c>
      <c r="FC285" s="138">
        <v>1368</v>
      </c>
      <c r="FD285" s="138">
        <v>17478</v>
      </c>
      <c r="FE285" s="138">
        <v>10935</v>
      </c>
      <c r="FF285" s="138">
        <v>6543</v>
      </c>
      <c r="FG285" s="138">
        <v>1364</v>
      </c>
      <c r="FH285" s="138">
        <v>16508</v>
      </c>
      <c r="FI285" s="138">
        <v>12076</v>
      </c>
      <c r="FJ285" s="138">
        <v>4432</v>
      </c>
      <c r="FK285" s="138">
        <v>1360</v>
      </c>
      <c r="FL285" s="147">
        <v>5117</v>
      </c>
      <c r="FM285" s="147">
        <v>6563.076923076923</v>
      </c>
      <c r="FO285" s="181">
        <f t="shared" si="12"/>
        <v>387.16279069767444</v>
      </c>
      <c r="FP285" s="179">
        <f t="shared" si="14"/>
        <v>121.25361437446742</v>
      </c>
      <c r="FR285" s="184"/>
      <c r="FV285" s="184">
        <v>1411</v>
      </c>
      <c r="FW285" s="2">
        <f t="shared" si="13"/>
        <v>-1411</v>
      </c>
    </row>
    <row r="286" spans="1:179" ht="12.75">
      <c r="A286" s="82">
        <v>905</v>
      </c>
      <c r="B286" s="80" t="s">
        <v>276</v>
      </c>
      <c r="C286" s="191">
        <v>60398</v>
      </c>
      <c r="D286" s="146"/>
      <c r="E286" s="150">
        <v>1.4202747166657963</v>
      </c>
      <c r="F286" s="150">
        <v>38.6</v>
      </c>
      <c r="G286" s="151">
        <v>-1869</v>
      </c>
      <c r="H286" s="152"/>
      <c r="I286" s="152"/>
      <c r="J286" s="152"/>
      <c r="K286" s="150">
        <v>64.6</v>
      </c>
      <c r="L286" s="151">
        <v>296</v>
      </c>
      <c r="M286" s="151">
        <v>13</v>
      </c>
      <c r="N286" s="154">
        <v>7527.732706381005</v>
      </c>
      <c r="O286" s="146">
        <v>229736</v>
      </c>
      <c r="P286" s="139">
        <v>112525</v>
      </c>
      <c r="Q286" s="139">
        <v>436781</v>
      </c>
      <c r="R286" s="139">
        <v>-324256</v>
      </c>
      <c r="S286" s="146">
        <v>246394</v>
      </c>
      <c r="T286" s="139">
        <v>93575</v>
      </c>
      <c r="U286" s="160"/>
      <c r="W286" s="138">
        <v>-1283</v>
      </c>
      <c r="X286" s="138">
        <v>11858</v>
      </c>
      <c r="Y286" s="139">
        <v>26288</v>
      </c>
      <c r="Z286" s="138">
        <v>19943</v>
      </c>
      <c r="AC286" s="139">
        <v>6345</v>
      </c>
      <c r="AD286" s="139">
        <v>-1610</v>
      </c>
      <c r="AE286" s="139">
        <v>-50</v>
      </c>
      <c r="AF286" s="139">
        <v>-797</v>
      </c>
      <c r="AG286" s="139">
        <v>3888</v>
      </c>
      <c r="AH286" s="139">
        <v>34117</v>
      </c>
      <c r="AI286" s="139">
        <v>22134</v>
      </c>
      <c r="AJ286" s="176"/>
      <c r="AK286" s="139">
        <v>-11802</v>
      </c>
      <c r="AL286" s="151">
        <v>-18241</v>
      </c>
      <c r="AM286" s="151">
        <v>-26442</v>
      </c>
      <c r="AN286" s="146">
        <v>246394</v>
      </c>
      <c r="AO286" s="139">
        <v>187923</v>
      </c>
      <c r="AP286" s="139">
        <v>45393</v>
      </c>
      <c r="AQ286" s="139">
        <v>13078</v>
      </c>
      <c r="AR286" s="114">
        <v>19.5</v>
      </c>
      <c r="AS286" s="152"/>
      <c r="AT286" s="138">
        <v>60</v>
      </c>
      <c r="AU286" s="191">
        <v>60947</v>
      </c>
      <c r="AV286" s="146"/>
      <c r="AW286" s="150">
        <v>0.959304198432299</v>
      </c>
      <c r="AX286" s="150">
        <v>43.4</v>
      </c>
      <c r="AY286" s="151">
        <v>-2561</v>
      </c>
      <c r="AZ286" s="152"/>
      <c r="BA286" s="152"/>
      <c r="BB286" s="152"/>
      <c r="BC286" s="150">
        <v>61.1</v>
      </c>
      <c r="BD286" s="151">
        <v>301</v>
      </c>
      <c r="BE286" s="151">
        <v>12</v>
      </c>
      <c r="BF286" s="154">
        <v>8840.336685973058</v>
      </c>
      <c r="BG286" s="146">
        <v>243520</v>
      </c>
      <c r="BH286" s="139">
        <v>116630</v>
      </c>
      <c r="BI286" s="139">
        <v>462057</v>
      </c>
      <c r="BJ286" s="139">
        <v>-345427</v>
      </c>
      <c r="BK286" s="146">
        <v>251144</v>
      </c>
      <c r="BL286" s="146">
        <v>98009</v>
      </c>
      <c r="BM286" s="160"/>
      <c r="BO286" s="138">
        <v>-1505</v>
      </c>
      <c r="BP286" s="138">
        <v>13303</v>
      </c>
      <c r="BQ286" s="139">
        <v>15524</v>
      </c>
      <c r="BR286" s="138">
        <v>23310</v>
      </c>
      <c r="BU286" s="139">
        <v>-7786</v>
      </c>
      <c r="BV286" s="139">
        <v>1471</v>
      </c>
      <c r="BW286" s="139"/>
      <c r="BX286" s="139">
        <v>-125</v>
      </c>
      <c r="BY286" s="138">
        <v>-6440</v>
      </c>
      <c r="BZ286" s="139">
        <v>27677</v>
      </c>
      <c r="CA286" s="139">
        <v>11530</v>
      </c>
      <c r="CB286" s="176"/>
      <c r="CC286" s="139">
        <v>16577</v>
      </c>
      <c r="CD286" s="151">
        <v>-16282</v>
      </c>
      <c r="CE286" s="151">
        <v>-43105</v>
      </c>
      <c r="CF286" s="138">
        <v>251144</v>
      </c>
      <c r="CG286" s="139">
        <v>197452</v>
      </c>
      <c r="CH286" s="139">
        <v>40785</v>
      </c>
      <c r="CI286" s="139">
        <v>12907</v>
      </c>
      <c r="CJ286" s="114">
        <v>19.5</v>
      </c>
      <c r="CK286" s="152"/>
      <c r="CL286" s="138">
        <v>83</v>
      </c>
      <c r="CM286" s="190">
        <v>66321</v>
      </c>
      <c r="CN286" s="146"/>
      <c r="CO286" s="150">
        <v>0.8482588089841335</v>
      </c>
      <c r="CP286" s="150">
        <v>50.14354333893162</v>
      </c>
      <c r="CQ286" s="151">
        <v>-3044.8877429471813</v>
      </c>
      <c r="CR286" s="152"/>
      <c r="CS286" s="152"/>
      <c r="CT286" s="152"/>
      <c r="CU286" s="150">
        <v>56.32728947144331</v>
      </c>
      <c r="CV286" s="151">
        <v>204.42996939129384</v>
      </c>
      <c r="CW286" s="151">
        <v>8.638050452790404</v>
      </c>
      <c r="CX286" s="154">
        <v>8638.16890577645</v>
      </c>
      <c r="CY286" s="146">
        <v>257112</v>
      </c>
      <c r="CZ286" s="139">
        <v>129824</v>
      </c>
      <c r="DA286" s="139">
        <v>496814</v>
      </c>
      <c r="DB286" s="139">
        <v>-366990</v>
      </c>
      <c r="DC286" s="146">
        <v>272853</v>
      </c>
      <c r="DD286" s="146">
        <v>102562</v>
      </c>
      <c r="DE286" s="160"/>
      <c r="DG286" s="138">
        <v>-976</v>
      </c>
      <c r="DH286" s="138">
        <v>11386</v>
      </c>
      <c r="DI286" s="139">
        <v>18835</v>
      </c>
      <c r="DJ286" s="138">
        <v>25933</v>
      </c>
      <c r="DM286" s="139">
        <v>-7098</v>
      </c>
      <c r="DN286" s="139">
        <v>1253</v>
      </c>
      <c r="DO286" s="139">
        <v>120</v>
      </c>
      <c r="DP286" s="139">
        <v>18</v>
      </c>
      <c r="DQ286" s="138">
        <v>-5707</v>
      </c>
      <c r="DR286" s="139">
        <v>23151</v>
      </c>
      <c r="DS286" s="139">
        <v>11477</v>
      </c>
      <c r="DT286" s="176"/>
      <c r="DU286" s="139">
        <v>-8822</v>
      </c>
      <c r="DV286" s="151">
        <v>-22517</v>
      </c>
      <c r="DW286" s="138">
        <v>-30986</v>
      </c>
      <c r="DX286" s="138">
        <v>272853</v>
      </c>
      <c r="DY286" s="146">
        <v>220512</v>
      </c>
      <c r="DZ286" s="196">
        <v>38149</v>
      </c>
      <c r="EA286" s="146">
        <v>14192</v>
      </c>
      <c r="EB286" s="114">
        <v>19.5</v>
      </c>
      <c r="EC286" s="152"/>
      <c r="ED286" s="138">
        <v>152</v>
      </c>
      <c r="EE286" s="138">
        <v>141274</v>
      </c>
      <c r="EF286" s="138">
        <v>155245</v>
      </c>
      <c r="EG286" s="138">
        <v>171196</v>
      </c>
      <c r="EH286" s="138"/>
      <c r="EI286" s="138"/>
      <c r="EJ286" s="138"/>
      <c r="EK286" s="3">
        <v>-58223</v>
      </c>
      <c r="EL286" s="138">
        <v>2122</v>
      </c>
      <c r="EM286" s="138">
        <v>7525</v>
      </c>
      <c r="EN286" s="3">
        <v>-61550</v>
      </c>
      <c r="EO286" s="138">
        <v>1956</v>
      </c>
      <c r="EP286" s="138">
        <v>4959</v>
      </c>
      <c r="EQ286" s="3">
        <v>-54107</v>
      </c>
      <c r="ER286" s="138">
        <v>2400</v>
      </c>
      <c r="ES286" s="138">
        <v>9244</v>
      </c>
      <c r="ET286" s="163">
        <v>25000</v>
      </c>
      <c r="EU286" s="163">
        <v>767</v>
      </c>
      <c r="EV286" s="138">
        <v>40433</v>
      </c>
      <c r="EW286" s="138">
        <v>-236</v>
      </c>
      <c r="EX286" s="138">
        <v>49100</v>
      </c>
      <c r="EY286" s="138">
        <v>-5705</v>
      </c>
      <c r="EZ286" s="138">
        <v>108469</v>
      </c>
      <c r="FA286" s="138">
        <v>91104</v>
      </c>
      <c r="FB286" s="138">
        <v>17365</v>
      </c>
      <c r="FC286" s="138">
        <v>18049</v>
      </c>
      <c r="FD286" s="138">
        <v>132383</v>
      </c>
      <c r="FE286" s="138">
        <v>110451</v>
      </c>
      <c r="FF286" s="138">
        <v>21932</v>
      </c>
      <c r="FG286" s="138">
        <v>17849</v>
      </c>
      <c r="FH286" s="138">
        <v>176225</v>
      </c>
      <c r="FI286" s="138">
        <v>140476</v>
      </c>
      <c r="FJ286" s="138">
        <v>35749</v>
      </c>
      <c r="FK286" s="138">
        <v>18005</v>
      </c>
      <c r="FL286" s="147">
        <v>4956</v>
      </c>
      <c r="FM286" s="147">
        <v>5555.925640310434</v>
      </c>
      <c r="FO286" s="181">
        <f t="shared" si="12"/>
        <v>11308.307692307691</v>
      </c>
      <c r="FP286" s="179">
        <f t="shared" si="14"/>
        <v>170.50870300972076</v>
      </c>
      <c r="FR286" s="184"/>
      <c r="FV286" s="184">
        <v>18241</v>
      </c>
      <c r="FW286" s="2">
        <f t="shared" si="13"/>
        <v>-18241</v>
      </c>
    </row>
    <row r="287" spans="1:179" ht="12.75">
      <c r="A287" s="82">
        <v>908</v>
      </c>
      <c r="B287" s="80" t="s">
        <v>277</v>
      </c>
      <c r="C287" s="191">
        <v>21022</v>
      </c>
      <c r="D287" s="146"/>
      <c r="E287" s="150">
        <v>0.46048032472657574</v>
      </c>
      <c r="F287" s="150">
        <v>39</v>
      </c>
      <c r="G287" s="151">
        <v>-1135</v>
      </c>
      <c r="H287" s="152"/>
      <c r="I287" s="152"/>
      <c r="J287" s="152"/>
      <c r="K287" s="150">
        <v>71.1</v>
      </c>
      <c r="L287" s="151">
        <v>280</v>
      </c>
      <c r="M287" s="151">
        <v>16</v>
      </c>
      <c r="N287" s="154">
        <v>5656.645419084768</v>
      </c>
      <c r="O287" s="146">
        <v>58839</v>
      </c>
      <c r="P287" s="139">
        <v>23464</v>
      </c>
      <c r="Q287" s="139">
        <v>117308</v>
      </c>
      <c r="R287" s="139">
        <v>-93844</v>
      </c>
      <c r="S287" s="146">
        <v>67409</v>
      </c>
      <c r="T287" s="139">
        <v>28880</v>
      </c>
      <c r="U287" s="160"/>
      <c r="W287" s="138">
        <v>-482</v>
      </c>
      <c r="X287" s="138">
        <v>2121</v>
      </c>
      <c r="Y287" s="139">
        <v>4084</v>
      </c>
      <c r="Z287" s="138">
        <v>6694</v>
      </c>
      <c r="AA287" s="138">
        <v>2141</v>
      </c>
      <c r="AC287" s="139">
        <v>-469</v>
      </c>
      <c r="AD287" s="139">
        <v>156</v>
      </c>
      <c r="AE287" s="139"/>
      <c r="AF287" s="139"/>
      <c r="AG287" s="139">
        <v>-313</v>
      </c>
      <c r="AH287" s="139">
        <v>13137</v>
      </c>
      <c r="AI287" s="139">
        <v>2621</v>
      </c>
      <c r="AJ287" s="176"/>
      <c r="AK287" s="139">
        <v>556</v>
      </c>
      <c r="AL287" s="151">
        <v>-8869</v>
      </c>
      <c r="AM287" s="151">
        <v>-1698</v>
      </c>
      <c r="AN287" s="146">
        <v>67409</v>
      </c>
      <c r="AO287" s="139">
        <v>59951</v>
      </c>
      <c r="AP287" s="139">
        <v>3779</v>
      </c>
      <c r="AQ287" s="139">
        <v>3679</v>
      </c>
      <c r="AR287" s="114">
        <v>18.75</v>
      </c>
      <c r="AS287" s="152"/>
      <c r="AT287" s="138">
        <v>205</v>
      </c>
      <c r="AU287" s="191">
        <v>21172</v>
      </c>
      <c r="AV287" s="146"/>
      <c r="AW287" s="150">
        <v>0.4005211526670754</v>
      </c>
      <c r="AX287" s="150">
        <v>41.9</v>
      </c>
      <c r="AY287" s="151">
        <v>-1448</v>
      </c>
      <c r="AZ287" s="152"/>
      <c r="BA287" s="152"/>
      <c r="BB287" s="152"/>
      <c r="BC287" s="150">
        <v>67.8</v>
      </c>
      <c r="BD287" s="151">
        <v>365</v>
      </c>
      <c r="BE287" s="151">
        <v>20</v>
      </c>
      <c r="BF287" s="154">
        <v>6591.299829964104</v>
      </c>
      <c r="BG287" s="146">
        <v>62181</v>
      </c>
      <c r="BH287" s="139">
        <v>23117</v>
      </c>
      <c r="BI287" s="139">
        <v>123178</v>
      </c>
      <c r="BJ287" s="139">
        <v>-100061</v>
      </c>
      <c r="BK287" s="146">
        <v>69028</v>
      </c>
      <c r="BL287" s="146">
        <v>31298</v>
      </c>
      <c r="BM287" s="160"/>
      <c r="BO287" s="138">
        <v>-479</v>
      </c>
      <c r="BP287" s="138">
        <v>2124</v>
      </c>
      <c r="BQ287" s="139">
        <v>1910</v>
      </c>
      <c r="BR287" s="138">
        <v>7885</v>
      </c>
      <c r="BU287" s="139">
        <v>-5975</v>
      </c>
      <c r="BV287" s="139">
        <v>155</v>
      </c>
      <c r="BW287" s="139"/>
      <c r="BX287" s="139"/>
      <c r="BY287" s="138">
        <v>-5820</v>
      </c>
      <c r="BZ287" s="139">
        <v>7317</v>
      </c>
      <c r="CA287" s="139">
        <v>1558</v>
      </c>
      <c r="CB287" s="176"/>
      <c r="CC287" s="139">
        <v>3665</v>
      </c>
      <c r="CD287" s="151">
        <v>-5821</v>
      </c>
      <c r="CE287" s="151">
        <v>-6981</v>
      </c>
      <c r="CF287" s="138">
        <v>69028</v>
      </c>
      <c r="CG287" s="139">
        <v>63030</v>
      </c>
      <c r="CH287" s="139">
        <v>2264</v>
      </c>
      <c r="CI287" s="139">
        <v>3734</v>
      </c>
      <c r="CJ287" s="114">
        <v>18.75</v>
      </c>
      <c r="CK287" s="152"/>
      <c r="CL287" s="138">
        <v>198</v>
      </c>
      <c r="CM287" s="190">
        <v>21129</v>
      </c>
      <c r="CN287" s="146"/>
      <c r="CO287" s="150">
        <v>1.3024275646045418</v>
      </c>
      <c r="CP287" s="150">
        <v>45.39572075965159</v>
      </c>
      <c r="CQ287" s="151">
        <v>-1770.3630081877989</v>
      </c>
      <c r="CR287" s="152"/>
      <c r="CS287" s="152"/>
      <c r="CT287" s="152"/>
      <c r="CU287" s="150">
        <v>63.959213418572</v>
      </c>
      <c r="CV287" s="151">
        <v>443.608310852383</v>
      </c>
      <c r="CW287" s="151">
        <v>22.90843042721307</v>
      </c>
      <c r="CX287" s="154">
        <v>7068.0107908561695</v>
      </c>
      <c r="CY287" s="146">
        <v>62100</v>
      </c>
      <c r="CZ287" s="139">
        <v>24319</v>
      </c>
      <c r="DA287" s="139">
        <v>127116</v>
      </c>
      <c r="DB287" s="139">
        <v>-102797</v>
      </c>
      <c r="DC287" s="146">
        <v>76295</v>
      </c>
      <c r="DD287" s="146">
        <v>32608</v>
      </c>
      <c r="DE287" s="160"/>
      <c r="DG287" s="138">
        <v>-466</v>
      </c>
      <c r="DH287" s="138">
        <v>2087</v>
      </c>
      <c r="DI287" s="139">
        <v>7727</v>
      </c>
      <c r="DJ287" s="138">
        <v>9380</v>
      </c>
      <c r="DM287" s="139">
        <v>-1653</v>
      </c>
      <c r="DN287" s="139">
        <v>191</v>
      </c>
      <c r="DO287" s="139"/>
      <c r="DP287" s="139"/>
      <c r="DQ287" s="138">
        <v>-1462</v>
      </c>
      <c r="DR287" s="139">
        <v>5854</v>
      </c>
      <c r="DS287" s="139">
        <v>6950</v>
      </c>
      <c r="DT287" s="176"/>
      <c r="DU287" s="139">
        <v>-407</v>
      </c>
      <c r="DV287" s="151">
        <v>-5796</v>
      </c>
      <c r="DW287" s="138">
        <v>-6733</v>
      </c>
      <c r="DX287" s="138">
        <v>76295</v>
      </c>
      <c r="DY287" s="146">
        <v>69883</v>
      </c>
      <c r="DZ287" s="196">
        <v>2590</v>
      </c>
      <c r="EA287" s="146">
        <v>3822</v>
      </c>
      <c r="EB287" s="114">
        <v>19.75</v>
      </c>
      <c r="EC287" s="152"/>
      <c r="ED287" s="138">
        <v>103</v>
      </c>
      <c r="EE287" s="138">
        <v>42989</v>
      </c>
      <c r="EF287" s="138">
        <v>44319</v>
      </c>
      <c r="EG287" s="138">
        <v>47658</v>
      </c>
      <c r="EH287" s="138"/>
      <c r="EI287" s="138"/>
      <c r="EJ287" s="138"/>
      <c r="EK287" s="3">
        <v>-9276</v>
      </c>
      <c r="EL287" s="138">
        <v>452</v>
      </c>
      <c r="EM287" s="138">
        <v>4505</v>
      </c>
      <c r="EN287" s="3">
        <v>-10017</v>
      </c>
      <c r="EO287" s="138">
        <v>1015</v>
      </c>
      <c r="EP287" s="138">
        <v>463</v>
      </c>
      <c r="EQ287" s="3">
        <v>-15961</v>
      </c>
      <c r="ER287" s="138">
        <v>1430</v>
      </c>
      <c r="ES287" s="138">
        <v>848</v>
      </c>
      <c r="ET287" s="163"/>
      <c r="EU287" s="163">
        <v>-1968</v>
      </c>
      <c r="EV287" s="138">
        <v>9000</v>
      </c>
      <c r="EW287" s="138">
        <v>921</v>
      </c>
      <c r="EX287" s="138">
        <v>9000</v>
      </c>
      <c r="EY287" s="138">
        <v>4936</v>
      </c>
      <c r="EZ287" s="138">
        <v>30738</v>
      </c>
      <c r="FA287" s="138">
        <v>21092</v>
      </c>
      <c r="FB287" s="138">
        <v>9646</v>
      </c>
      <c r="FC287" s="138">
        <v>606</v>
      </c>
      <c r="FD287" s="138">
        <v>34838</v>
      </c>
      <c r="FE287" s="138">
        <v>24496</v>
      </c>
      <c r="FF287" s="138">
        <v>10342</v>
      </c>
      <c r="FG287" s="138">
        <v>430</v>
      </c>
      <c r="FH287" s="138">
        <v>42978</v>
      </c>
      <c r="FI287" s="138">
        <v>28257</v>
      </c>
      <c r="FJ287" s="138">
        <v>14721</v>
      </c>
      <c r="FK287" s="138">
        <v>426</v>
      </c>
      <c r="FL287" s="147">
        <v>2838</v>
      </c>
      <c r="FM287" s="147">
        <v>3006.8014358586815</v>
      </c>
      <c r="FO287" s="181">
        <f t="shared" si="12"/>
        <v>3538.3797468354433</v>
      </c>
      <c r="FP287" s="179">
        <f t="shared" si="14"/>
        <v>167.46555666787086</v>
      </c>
      <c r="FR287" s="184"/>
      <c r="FV287" s="184">
        <v>8869</v>
      </c>
      <c r="FW287" s="2">
        <f t="shared" si="13"/>
        <v>-8869</v>
      </c>
    </row>
    <row r="288" spans="1:179" ht="12.75">
      <c r="A288" s="82">
        <v>911</v>
      </c>
      <c r="B288" s="80" t="s">
        <v>278</v>
      </c>
      <c r="C288" s="191">
        <v>2437</v>
      </c>
      <c r="D288" s="146"/>
      <c r="F288" s="150">
        <v>10</v>
      </c>
      <c r="G288" s="151">
        <v>3047</v>
      </c>
      <c r="H288" s="152"/>
      <c r="I288" s="152"/>
      <c r="J288" s="152"/>
      <c r="K288" s="150">
        <v>89.4</v>
      </c>
      <c r="L288" s="151">
        <v>3218</v>
      </c>
      <c r="M288" s="151">
        <v>125</v>
      </c>
      <c r="N288" s="154">
        <v>102791.13664341404</v>
      </c>
      <c r="O288" s="146">
        <v>10413</v>
      </c>
      <c r="P288" s="139">
        <v>7574</v>
      </c>
      <c r="Q288" s="139">
        <v>22161</v>
      </c>
      <c r="R288" s="139">
        <v>-14587</v>
      </c>
      <c r="S288" s="146">
        <v>5708</v>
      </c>
      <c r="T288" s="139">
        <v>8921</v>
      </c>
      <c r="U288" s="160"/>
      <c r="W288" s="138">
        <v>202</v>
      </c>
      <c r="X288" s="138">
        <v>153</v>
      </c>
      <c r="Y288" s="139">
        <v>397</v>
      </c>
      <c r="Z288" s="138">
        <v>783</v>
      </c>
      <c r="AA288" s="139"/>
      <c r="AC288" s="139">
        <v>-386</v>
      </c>
      <c r="AD288" s="139">
        <v>39</v>
      </c>
      <c r="AG288" s="139">
        <v>-347</v>
      </c>
      <c r="AH288" s="139">
        <v>5996</v>
      </c>
      <c r="AI288" s="139">
        <v>384</v>
      </c>
      <c r="AJ288" s="176"/>
      <c r="AK288" s="139">
        <v>-67</v>
      </c>
      <c r="AL288" s="151">
        <v>0</v>
      </c>
      <c r="AM288" s="151">
        <v>-389</v>
      </c>
      <c r="AN288" s="146">
        <v>5708</v>
      </c>
      <c r="AO288" s="139">
        <v>4477</v>
      </c>
      <c r="AP288" s="139">
        <v>1005</v>
      </c>
      <c r="AQ288" s="139">
        <v>226</v>
      </c>
      <c r="AR288" s="114">
        <v>18.25</v>
      </c>
      <c r="AS288" s="152"/>
      <c r="AT288" s="138">
        <v>224</v>
      </c>
      <c r="AU288" s="191">
        <v>2421</v>
      </c>
      <c r="AV288" s="146"/>
      <c r="AX288" s="150">
        <v>9.8</v>
      </c>
      <c r="AY288" s="151">
        <v>2841</v>
      </c>
      <c r="AZ288" s="152"/>
      <c r="BA288" s="152"/>
      <c r="BB288" s="152"/>
      <c r="BC288" s="150">
        <v>89.4</v>
      </c>
      <c r="BD288" s="151">
        <v>3147</v>
      </c>
      <c r="BE288" s="151">
        <v>120</v>
      </c>
      <c r="BF288" s="154">
        <v>9590.665014456836</v>
      </c>
      <c r="BG288" s="146">
        <v>10700</v>
      </c>
      <c r="BH288" s="139">
        <v>7413</v>
      </c>
      <c r="BI288" s="139">
        <v>22253</v>
      </c>
      <c r="BJ288" s="139">
        <v>-14840</v>
      </c>
      <c r="BK288" s="146">
        <v>5865</v>
      </c>
      <c r="BL288" s="146">
        <v>8986</v>
      </c>
      <c r="BM288" s="160"/>
      <c r="BO288" s="138">
        <v>156</v>
      </c>
      <c r="BP288" s="138">
        <v>164</v>
      </c>
      <c r="BQ288" s="139">
        <v>331</v>
      </c>
      <c r="BR288" s="138">
        <v>617</v>
      </c>
      <c r="BS288" s="139"/>
      <c r="BU288" s="139">
        <v>-286</v>
      </c>
      <c r="BV288" s="139">
        <v>36</v>
      </c>
      <c r="BY288" s="138">
        <v>-250</v>
      </c>
      <c r="BZ288" s="139">
        <v>5746</v>
      </c>
      <c r="CA288" s="139">
        <v>320</v>
      </c>
      <c r="CB288" s="176"/>
      <c r="CC288" s="139">
        <v>355</v>
      </c>
      <c r="CD288" s="151">
        <v>0</v>
      </c>
      <c r="CE288" s="151">
        <v>-567</v>
      </c>
      <c r="CF288" s="138">
        <v>5865</v>
      </c>
      <c r="CG288" s="139">
        <v>4895</v>
      </c>
      <c r="CH288" s="139">
        <v>741</v>
      </c>
      <c r="CI288" s="139">
        <v>229</v>
      </c>
      <c r="CJ288" s="114">
        <v>18.75</v>
      </c>
      <c r="CK288" s="152"/>
      <c r="CL288" s="138">
        <v>163</v>
      </c>
      <c r="CM288" s="190">
        <v>2379</v>
      </c>
      <c r="CN288" s="146"/>
      <c r="CP288" s="150">
        <v>11.921993499458289</v>
      </c>
      <c r="CQ288" s="151">
        <v>2411.0970996216897</v>
      </c>
      <c r="CR288" s="152"/>
      <c r="CS288" s="152"/>
      <c r="CT288" s="152"/>
      <c r="CU288" s="150">
        <v>87.14812567107045</v>
      </c>
      <c r="CV288" s="151">
        <v>2802.8583438419505</v>
      </c>
      <c r="CW288" s="151">
        <v>97.24000159814614</v>
      </c>
      <c r="CX288" s="154">
        <v>10520.807061790669</v>
      </c>
      <c r="CY288" s="146">
        <v>10255</v>
      </c>
      <c r="CZ288" s="139">
        <v>7456</v>
      </c>
      <c r="DA288" s="139">
        <v>22305</v>
      </c>
      <c r="DB288" s="139">
        <v>-14849</v>
      </c>
      <c r="DC288" s="146">
        <v>6481</v>
      </c>
      <c r="DD288" s="146">
        <v>9138</v>
      </c>
      <c r="DE288" s="160"/>
      <c r="DG288" s="138">
        <v>73</v>
      </c>
      <c r="DH288" s="138">
        <v>158</v>
      </c>
      <c r="DI288" s="139">
        <v>1001</v>
      </c>
      <c r="DJ288" s="138">
        <v>714</v>
      </c>
      <c r="DK288" s="139"/>
      <c r="DM288" s="139">
        <v>287</v>
      </c>
      <c r="DN288" s="139">
        <v>33</v>
      </c>
      <c r="DQ288" s="138">
        <v>320</v>
      </c>
      <c r="DR288" s="139">
        <v>6066</v>
      </c>
      <c r="DS288" s="139">
        <v>981</v>
      </c>
      <c r="DT288" s="176"/>
      <c r="DU288" s="139">
        <v>-378</v>
      </c>
      <c r="DV288" s="151">
        <v>0</v>
      </c>
      <c r="DW288" s="138">
        <v>-1143</v>
      </c>
      <c r="DX288" s="138">
        <v>6481</v>
      </c>
      <c r="DY288" s="146">
        <v>5278</v>
      </c>
      <c r="DZ288" s="196">
        <v>864</v>
      </c>
      <c r="EA288" s="146">
        <v>339</v>
      </c>
      <c r="EB288" s="114">
        <v>19.25</v>
      </c>
      <c r="EC288" s="152"/>
      <c r="ED288" s="138">
        <v>81</v>
      </c>
      <c r="EE288" s="138">
        <v>9696</v>
      </c>
      <c r="EF288" s="138">
        <v>9387</v>
      </c>
      <c r="EG288" s="138">
        <v>9985</v>
      </c>
      <c r="EH288" s="138"/>
      <c r="EI288" s="138"/>
      <c r="EJ288" s="138"/>
      <c r="EK288" s="3">
        <v>-812</v>
      </c>
      <c r="EL288" s="138"/>
      <c r="EM288" s="138">
        <v>39</v>
      </c>
      <c r="EN288" s="3">
        <v>-967</v>
      </c>
      <c r="EO288" s="138">
        <v>21</v>
      </c>
      <c r="EP288" s="138">
        <v>59</v>
      </c>
      <c r="EQ288" s="3">
        <v>-2710</v>
      </c>
      <c r="ER288" s="138">
        <v>562</v>
      </c>
      <c r="ES288" s="138">
        <v>24</v>
      </c>
      <c r="ET288" s="163"/>
      <c r="EU288" s="163"/>
      <c r="EV288" s="138"/>
      <c r="EW288" s="138"/>
      <c r="EX288" s="138"/>
      <c r="EY288" s="138"/>
      <c r="EZ288" s="138">
        <v>0</v>
      </c>
      <c r="FA288" s="138">
        <v>0</v>
      </c>
      <c r="FB288" s="138">
        <v>0</v>
      </c>
      <c r="FC288" s="138">
        <v>48</v>
      </c>
      <c r="FD288" s="138">
        <v>0</v>
      </c>
      <c r="FE288" s="138">
        <v>0</v>
      </c>
      <c r="FF288" s="138">
        <v>0</v>
      </c>
      <c r="FG288" s="138">
        <v>34</v>
      </c>
      <c r="FH288" s="138">
        <v>0</v>
      </c>
      <c r="FI288" s="138">
        <v>0</v>
      </c>
      <c r="FJ288" s="138">
        <v>0</v>
      </c>
      <c r="FK288" s="138">
        <v>21</v>
      </c>
      <c r="FL288" s="147">
        <v>643</v>
      </c>
      <c r="FM288" s="147">
        <v>670.7971912432879</v>
      </c>
      <c r="FO288" s="181">
        <f t="shared" si="12"/>
        <v>274.1818181818182</v>
      </c>
      <c r="FP288" s="179">
        <f t="shared" si="14"/>
        <v>115.25086934923002</v>
      </c>
      <c r="FR288" s="184"/>
      <c r="FV288" s="184">
        <v>0</v>
      </c>
      <c r="FW288" s="2">
        <f t="shared" si="13"/>
        <v>0</v>
      </c>
    </row>
    <row r="289" spans="1:179" ht="12.75">
      <c r="A289" s="82">
        <v>92</v>
      </c>
      <c r="B289" s="80" t="s">
        <v>28</v>
      </c>
      <c r="C289" s="191">
        <v>203001</v>
      </c>
      <c r="D289" s="146"/>
      <c r="E289" s="150">
        <v>1.3646302002088464</v>
      </c>
      <c r="F289" s="150">
        <v>84.7</v>
      </c>
      <c r="G289" s="151">
        <v>-4061</v>
      </c>
      <c r="H289" s="152"/>
      <c r="I289" s="152"/>
      <c r="J289" s="152"/>
      <c r="K289" s="150">
        <v>43.6</v>
      </c>
      <c r="L289" s="151">
        <v>631</v>
      </c>
      <c r="M289" s="151">
        <v>34</v>
      </c>
      <c r="N289" s="154">
        <v>9758.932222008758</v>
      </c>
      <c r="O289" s="146">
        <v>484213</v>
      </c>
      <c r="P289" s="139">
        <v>362666</v>
      </c>
      <c r="Q289" s="139">
        <v>1273593</v>
      </c>
      <c r="R289" s="139">
        <v>-910927</v>
      </c>
      <c r="S289" s="146">
        <v>835600</v>
      </c>
      <c r="T289" s="139">
        <v>136577</v>
      </c>
      <c r="U289" s="160"/>
      <c r="W289" s="138">
        <v>-471</v>
      </c>
      <c r="X289" s="138">
        <v>18252</v>
      </c>
      <c r="Y289" s="139">
        <v>79031</v>
      </c>
      <c r="Z289" s="138">
        <v>65775</v>
      </c>
      <c r="AC289" s="139">
        <v>13256</v>
      </c>
      <c r="AD289" s="139">
        <v>-283</v>
      </c>
      <c r="AE289" s="139">
        <v>223</v>
      </c>
      <c r="AF289" s="139">
        <v>-5</v>
      </c>
      <c r="AG289" s="139">
        <v>13191</v>
      </c>
      <c r="AH289" s="139">
        <v>331638</v>
      </c>
      <c r="AI289" s="139">
        <v>48199</v>
      </c>
      <c r="AJ289" s="176"/>
      <c r="AK289" s="139">
        <v>-908</v>
      </c>
      <c r="AL289" s="151">
        <v>-50747</v>
      </c>
      <c r="AM289" s="151">
        <v>-77806</v>
      </c>
      <c r="AN289" s="146">
        <v>835600</v>
      </c>
      <c r="AO289" s="139">
        <v>710169</v>
      </c>
      <c r="AP289" s="139">
        <v>65575</v>
      </c>
      <c r="AQ289" s="139">
        <v>59856</v>
      </c>
      <c r="AR289" s="114">
        <v>19</v>
      </c>
      <c r="AS289" s="152"/>
      <c r="AT289" s="138">
        <v>79</v>
      </c>
      <c r="AU289" s="191">
        <v>205312</v>
      </c>
      <c r="AV289" s="146"/>
      <c r="AW289" s="150">
        <v>1.7657790818239978</v>
      </c>
      <c r="AX289" s="150">
        <v>89.3</v>
      </c>
      <c r="AY289" s="151">
        <v>-4418</v>
      </c>
      <c r="AZ289" s="152"/>
      <c r="BA289" s="152"/>
      <c r="BB289" s="152"/>
      <c r="BC289" s="150">
        <v>41.6</v>
      </c>
      <c r="BD289" s="151">
        <v>557</v>
      </c>
      <c r="BE289" s="151">
        <v>30</v>
      </c>
      <c r="BF289" s="154">
        <v>6767.8411393391525</v>
      </c>
      <c r="BG289" s="146">
        <v>472545</v>
      </c>
      <c r="BH289" s="139">
        <v>351368</v>
      </c>
      <c r="BI289" s="139">
        <v>1309435</v>
      </c>
      <c r="BJ289" s="139">
        <v>-958067</v>
      </c>
      <c r="BK289" s="146">
        <v>857077</v>
      </c>
      <c r="BL289" s="146">
        <v>148170</v>
      </c>
      <c r="BM289" s="160"/>
      <c r="BO289" s="138">
        <v>-674</v>
      </c>
      <c r="BP289" s="138">
        <v>18241</v>
      </c>
      <c r="BQ289" s="139">
        <v>64747</v>
      </c>
      <c r="BR289" s="138">
        <v>68432</v>
      </c>
      <c r="BU289" s="139">
        <v>-3685</v>
      </c>
      <c r="BV289" s="139">
        <v>-305</v>
      </c>
      <c r="BW289" s="139">
        <v>495</v>
      </c>
      <c r="BX289" s="139">
        <v>265</v>
      </c>
      <c r="BY289" s="138">
        <v>-3230</v>
      </c>
      <c r="BZ289" s="139">
        <v>336482</v>
      </c>
      <c r="CA289" s="139">
        <v>32891</v>
      </c>
      <c r="CB289" s="176"/>
      <c r="CC289" s="139">
        <v>-22912</v>
      </c>
      <c r="CD289" s="151">
        <v>-30035</v>
      </c>
      <c r="CE289" s="151">
        <v>-86702</v>
      </c>
      <c r="CF289" s="138">
        <v>857077</v>
      </c>
      <c r="CG289" s="139">
        <v>739107</v>
      </c>
      <c r="CH289" s="139">
        <v>56266</v>
      </c>
      <c r="CI289" s="139">
        <v>61704</v>
      </c>
      <c r="CJ289" s="114">
        <v>19</v>
      </c>
      <c r="CK289" s="152"/>
      <c r="CL289" s="138">
        <v>63</v>
      </c>
      <c r="CM289" s="190">
        <v>208098</v>
      </c>
      <c r="CN289" s="146"/>
      <c r="CO289" s="150">
        <v>0.8352434008876682</v>
      </c>
      <c r="CP289" s="150">
        <v>88.34064468975642</v>
      </c>
      <c r="CQ289" s="151">
        <v>-4318.004017337985</v>
      </c>
      <c r="CR289" s="152"/>
      <c r="CS289" s="152"/>
      <c r="CT289" s="152"/>
      <c r="CU289" s="150">
        <v>41.75523970664326</v>
      </c>
      <c r="CV289" s="151">
        <v>719.4542955722785</v>
      </c>
      <c r="CW289" s="151">
        <v>35.92152989587716</v>
      </c>
      <c r="CX289" s="154">
        <v>7310.401829907063</v>
      </c>
      <c r="CY289" s="146">
        <v>474300</v>
      </c>
      <c r="CZ289" s="139">
        <v>381125</v>
      </c>
      <c r="DA289" s="139">
        <v>1357711</v>
      </c>
      <c r="DB289" s="139">
        <v>-976586</v>
      </c>
      <c r="DC289" s="146">
        <v>915235</v>
      </c>
      <c r="DD289" s="146">
        <v>147059</v>
      </c>
      <c r="DE289" s="160"/>
      <c r="DG289" s="138">
        <v>5219</v>
      </c>
      <c r="DH289" s="138">
        <v>17520</v>
      </c>
      <c r="DI289" s="139">
        <v>108447</v>
      </c>
      <c r="DJ289" s="138">
        <v>72852</v>
      </c>
      <c r="DM289" s="139">
        <v>35595</v>
      </c>
      <c r="DN289" s="139">
        <v>148</v>
      </c>
      <c r="DO289" s="139">
        <v>-753</v>
      </c>
      <c r="DP289" s="139">
        <v>237</v>
      </c>
      <c r="DQ289" s="138">
        <v>35227</v>
      </c>
      <c r="DR289" s="139">
        <v>376801</v>
      </c>
      <c r="DS289" s="139">
        <v>70528</v>
      </c>
      <c r="DT289" s="176"/>
      <c r="DU289" s="139">
        <v>-22124</v>
      </c>
      <c r="DV289" s="151">
        <v>-131722</v>
      </c>
      <c r="DW289" s="138">
        <v>-45699</v>
      </c>
      <c r="DX289" s="138">
        <v>915235</v>
      </c>
      <c r="DY289" s="146">
        <v>786436</v>
      </c>
      <c r="DZ289" s="196">
        <v>64246</v>
      </c>
      <c r="EA289" s="146">
        <v>64553</v>
      </c>
      <c r="EB289" s="114">
        <v>19</v>
      </c>
      <c r="EC289" s="152"/>
      <c r="ED289" s="138">
        <v>52</v>
      </c>
      <c r="EE289" s="138">
        <v>612318</v>
      </c>
      <c r="EF289" s="138">
        <v>650862</v>
      </c>
      <c r="EG289" s="138">
        <v>688544</v>
      </c>
      <c r="EH289" s="138"/>
      <c r="EI289" s="138"/>
      <c r="EJ289" s="138"/>
      <c r="EK289" s="3">
        <v>-175633</v>
      </c>
      <c r="EL289" s="138">
        <v>3715</v>
      </c>
      <c r="EM289" s="138">
        <v>45913</v>
      </c>
      <c r="EN289" s="3">
        <v>-166744</v>
      </c>
      <c r="EO289" s="138">
        <v>6906</v>
      </c>
      <c r="EP289" s="138">
        <v>40245</v>
      </c>
      <c r="EQ289" s="3">
        <v>-172810</v>
      </c>
      <c r="ER289" s="138">
        <v>9321</v>
      </c>
      <c r="ES289" s="138">
        <v>47262</v>
      </c>
      <c r="ET289" s="163">
        <v>130000</v>
      </c>
      <c r="EU289" s="163">
        <v>23353</v>
      </c>
      <c r="EV289" s="138">
        <v>125000</v>
      </c>
      <c r="EW289" s="138">
        <v>405</v>
      </c>
      <c r="EX289" s="138">
        <v>170000</v>
      </c>
      <c r="EY289" s="138">
        <v>5456</v>
      </c>
      <c r="EZ289" s="138">
        <v>857773</v>
      </c>
      <c r="FA289" s="138">
        <v>800254</v>
      </c>
      <c r="FB289" s="138">
        <v>57519</v>
      </c>
      <c r="FC289" s="138">
        <v>283955</v>
      </c>
      <c r="FD289" s="138">
        <v>953142</v>
      </c>
      <c r="FE289" s="138">
        <v>792738</v>
      </c>
      <c r="FF289" s="138">
        <v>160404</v>
      </c>
      <c r="FG289" s="138">
        <v>283952</v>
      </c>
      <c r="FH289" s="138">
        <v>996877</v>
      </c>
      <c r="FI289" s="138">
        <v>908890</v>
      </c>
      <c r="FJ289" s="138">
        <v>87987</v>
      </c>
      <c r="FK289" s="138">
        <v>284158</v>
      </c>
      <c r="FL289" s="147">
        <v>8551</v>
      </c>
      <c r="FM289" s="147">
        <v>8984.238622194514</v>
      </c>
      <c r="FO289" s="181">
        <f t="shared" si="12"/>
        <v>41391.36842105263</v>
      </c>
      <c r="FP289" s="179">
        <f t="shared" si="14"/>
        <v>198.90324953172367</v>
      </c>
      <c r="FR289" s="184"/>
      <c r="FV289" s="184">
        <v>50747</v>
      </c>
      <c r="FW289" s="2">
        <f t="shared" si="13"/>
        <v>-50747</v>
      </c>
    </row>
    <row r="290" spans="1:179" ht="12.75">
      <c r="A290" s="82">
        <v>915</v>
      </c>
      <c r="B290" s="80" t="s">
        <v>279</v>
      </c>
      <c r="C290" s="191">
        <v>22606</v>
      </c>
      <c r="D290" s="146"/>
      <c r="E290" s="150">
        <v>0.9068109171379395</v>
      </c>
      <c r="F290" s="150">
        <v>42.9</v>
      </c>
      <c r="G290" s="151">
        <v>-2200</v>
      </c>
      <c r="H290" s="152"/>
      <c r="I290" s="152"/>
      <c r="J290" s="152"/>
      <c r="K290" s="150">
        <v>57.8</v>
      </c>
      <c r="L290" s="151">
        <v>230</v>
      </c>
      <c r="M290" s="151">
        <v>13</v>
      </c>
      <c r="N290" s="154">
        <v>6678.182783331858</v>
      </c>
      <c r="O290" s="146">
        <v>66251</v>
      </c>
      <c r="P290" s="139">
        <v>29229</v>
      </c>
      <c r="Q290" s="139">
        <v>135526</v>
      </c>
      <c r="R290" s="139">
        <v>-106297</v>
      </c>
      <c r="S290" s="146">
        <v>72277</v>
      </c>
      <c r="T290" s="139">
        <v>39816</v>
      </c>
      <c r="U290" s="160"/>
      <c r="W290" s="138">
        <v>-796</v>
      </c>
      <c r="X290" s="138">
        <v>1468</v>
      </c>
      <c r="Y290" s="139">
        <v>6468</v>
      </c>
      <c r="Z290" s="138">
        <v>5649</v>
      </c>
      <c r="AA290" s="138">
        <v>150</v>
      </c>
      <c r="AB290" s="138">
        <v>71</v>
      </c>
      <c r="AC290" s="139">
        <v>898</v>
      </c>
      <c r="AE290" s="139">
        <v>15</v>
      </c>
      <c r="AG290" s="139">
        <v>913</v>
      </c>
      <c r="AH290" s="139">
        <v>-8192</v>
      </c>
      <c r="AI290" s="139">
        <v>6066</v>
      </c>
      <c r="AJ290" s="176"/>
      <c r="AK290" s="138">
        <v>759</v>
      </c>
      <c r="AL290" s="151">
        <v>-7226</v>
      </c>
      <c r="AM290" s="151">
        <v>333</v>
      </c>
      <c r="AN290" s="146">
        <v>72277</v>
      </c>
      <c r="AO290" s="139">
        <v>64563</v>
      </c>
      <c r="AP290" s="139">
        <v>3951</v>
      </c>
      <c r="AQ290" s="139">
        <v>3763</v>
      </c>
      <c r="AR290" s="114">
        <v>20</v>
      </c>
      <c r="AS290" s="152"/>
      <c r="AT290" s="138">
        <v>134</v>
      </c>
      <c r="AU290" s="191">
        <v>22340</v>
      </c>
      <c r="AV290" s="146"/>
      <c r="AW290" s="150">
        <v>0.15379143548157634</v>
      </c>
      <c r="AX290" s="150">
        <v>44</v>
      </c>
      <c r="AY290" s="151">
        <v>-2471</v>
      </c>
      <c r="AZ290" s="152"/>
      <c r="BA290" s="152"/>
      <c r="BB290" s="152"/>
      <c r="BC290" s="150">
        <v>65</v>
      </c>
      <c r="BD290" s="151">
        <v>127</v>
      </c>
      <c r="BE290" s="151">
        <v>5</v>
      </c>
      <c r="BF290" s="154">
        <v>9652.103849597135</v>
      </c>
      <c r="BG290" s="146">
        <v>71562</v>
      </c>
      <c r="BH290" s="139">
        <v>29080</v>
      </c>
      <c r="BI290" s="139">
        <v>144797</v>
      </c>
      <c r="BJ290" s="139">
        <v>-115717</v>
      </c>
      <c r="BK290" s="146">
        <v>72423</v>
      </c>
      <c r="BL290" s="146">
        <v>42432</v>
      </c>
      <c r="BM290" s="160"/>
      <c r="BO290" s="138">
        <v>-866</v>
      </c>
      <c r="BP290" s="138">
        <v>1879</v>
      </c>
      <c r="BQ290" s="139">
        <v>151</v>
      </c>
      <c r="BR290" s="138">
        <v>4114</v>
      </c>
      <c r="BS290" s="138">
        <v>42308</v>
      </c>
      <c r="BT290" s="138">
        <v>3942</v>
      </c>
      <c r="BU290" s="139">
        <v>34403</v>
      </c>
      <c r="BW290" s="139">
        <v>-9989</v>
      </c>
      <c r="BY290" s="138">
        <v>24414</v>
      </c>
      <c r="BZ290" s="139">
        <v>16222</v>
      </c>
      <c r="CA290" s="139">
        <v>-3567</v>
      </c>
      <c r="CB290" s="176"/>
      <c r="CC290" s="138">
        <v>399</v>
      </c>
      <c r="CD290" s="151">
        <v>-6099</v>
      </c>
      <c r="CE290" s="151">
        <v>37933</v>
      </c>
      <c r="CF290" s="138">
        <v>72423</v>
      </c>
      <c r="CG290" s="139">
        <v>65681</v>
      </c>
      <c r="CH290" s="139">
        <v>2939</v>
      </c>
      <c r="CI290" s="139">
        <v>3803</v>
      </c>
      <c r="CJ290" s="114">
        <v>20</v>
      </c>
      <c r="CK290" s="152"/>
      <c r="CL290" s="138">
        <v>233</v>
      </c>
      <c r="CM290" s="190">
        <v>22107</v>
      </c>
      <c r="CN290" s="146"/>
      <c r="CO290" s="150">
        <v>-0.2090925172474792</v>
      </c>
      <c r="CP290" s="150">
        <v>44.06319945753599</v>
      </c>
      <c r="CQ290" s="151">
        <v>-2867.2366218844713</v>
      </c>
      <c r="CR290" s="152"/>
      <c r="CS290" s="152"/>
      <c r="CT290" s="152"/>
      <c r="CU290" s="150">
        <v>60.22909827477824</v>
      </c>
      <c r="CV290" s="151">
        <v>125.52585154023613</v>
      </c>
      <c r="CW290" s="151">
        <v>5.527496275437534</v>
      </c>
      <c r="CX290" s="154">
        <v>8288.913013977473</v>
      </c>
      <c r="CY290" s="146">
        <v>80823</v>
      </c>
      <c r="CZ290" s="139">
        <v>48860</v>
      </c>
      <c r="DA290" s="139">
        <v>171001</v>
      </c>
      <c r="DB290" s="139">
        <v>-122141</v>
      </c>
      <c r="DC290" s="146">
        <v>74469</v>
      </c>
      <c r="DD290" s="146">
        <v>43774</v>
      </c>
      <c r="DE290" s="160"/>
      <c r="DG290" s="138">
        <v>496</v>
      </c>
      <c r="DH290" s="138">
        <v>1523</v>
      </c>
      <c r="DI290" s="139">
        <v>-1879</v>
      </c>
      <c r="DJ290" s="138">
        <v>4424</v>
      </c>
      <c r="DM290" s="139">
        <v>-6303</v>
      </c>
      <c r="DO290" s="139"/>
      <c r="DQ290" s="138">
        <v>-6303</v>
      </c>
      <c r="DR290" s="139">
        <v>9919</v>
      </c>
      <c r="DS290" s="139">
        <v>-2060</v>
      </c>
      <c r="DT290" s="176"/>
      <c r="DU290" s="138">
        <v>-2184</v>
      </c>
      <c r="DV290" s="151">
        <v>-4956</v>
      </c>
      <c r="DW290" s="138">
        <v>-8338</v>
      </c>
      <c r="DX290" s="138">
        <v>74469</v>
      </c>
      <c r="DY290" s="146">
        <v>67268</v>
      </c>
      <c r="DZ290" s="196">
        <v>3860</v>
      </c>
      <c r="EA290" s="146">
        <v>3341</v>
      </c>
      <c r="EB290" s="114">
        <v>20</v>
      </c>
      <c r="EC290" s="152"/>
      <c r="ED290" s="138">
        <v>290</v>
      </c>
      <c r="EE290" s="138">
        <v>51999</v>
      </c>
      <c r="EF290" s="138">
        <v>54591</v>
      </c>
      <c r="EG290" s="138">
        <v>68785</v>
      </c>
      <c r="EH290" s="138"/>
      <c r="EI290" s="138"/>
      <c r="EJ290" s="138"/>
      <c r="EK290" s="3">
        <v>-7137</v>
      </c>
      <c r="EL290" s="138">
        <v>55</v>
      </c>
      <c r="EM290" s="138">
        <v>1350</v>
      </c>
      <c r="EN290" s="3">
        <v>-17333</v>
      </c>
      <c r="EO290" s="138">
        <v>364</v>
      </c>
      <c r="EP290" s="138">
        <v>58469</v>
      </c>
      <c r="EQ290" s="3">
        <v>-6932</v>
      </c>
      <c r="ER290" s="138">
        <v>109</v>
      </c>
      <c r="ES290" s="138">
        <v>545</v>
      </c>
      <c r="ET290" s="163">
        <v>6000</v>
      </c>
      <c r="EU290" s="163"/>
      <c r="EV290" s="138">
        <v>6000</v>
      </c>
      <c r="EW290" s="138">
        <v>2000</v>
      </c>
      <c r="EX290" s="138">
        <v>15000</v>
      </c>
      <c r="EY290" s="138">
        <v>-2000</v>
      </c>
      <c r="EZ290" s="138">
        <v>42228</v>
      </c>
      <c r="FA290" s="138">
        <v>36121</v>
      </c>
      <c r="FB290" s="138">
        <v>6107</v>
      </c>
      <c r="FC290" s="138">
        <v>5306</v>
      </c>
      <c r="FD290" s="138">
        <v>44127</v>
      </c>
      <c r="FE290" s="138">
        <v>37171</v>
      </c>
      <c r="FF290" s="138">
        <v>6956</v>
      </c>
      <c r="FG290" s="138">
        <v>48456</v>
      </c>
      <c r="FH290" s="138">
        <v>52172</v>
      </c>
      <c r="FI290" s="138">
        <v>43333</v>
      </c>
      <c r="FJ290" s="138">
        <v>8839</v>
      </c>
      <c r="FK290" s="138">
        <v>48113</v>
      </c>
      <c r="FL290" s="147">
        <v>6551</v>
      </c>
      <c r="FM290" s="147">
        <v>6893.41987466428</v>
      </c>
      <c r="FO290" s="181">
        <f t="shared" si="12"/>
        <v>3363.4</v>
      </c>
      <c r="FP290" s="179">
        <f t="shared" si="14"/>
        <v>152.14185552087577</v>
      </c>
      <c r="FR290" s="184"/>
      <c r="FV290" s="184">
        <v>7226</v>
      </c>
      <c r="FW290" s="2">
        <f t="shared" si="13"/>
        <v>-7226</v>
      </c>
    </row>
    <row r="291" spans="1:179" ht="12.75">
      <c r="A291" s="82">
        <v>918</v>
      </c>
      <c r="B291" s="80" t="s">
        <v>280</v>
      </c>
      <c r="C291" s="191">
        <v>2353</v>
      </c>
      <c r="D291" s="146"/>
      <c r="E291" s="150">
        <v>2.1578947368421053</v>
      </c>
      <c r="F291" s="150">
        <v>29.3</v>
      </c>
      <c r="G291" s="151">
        <v>-1756</v>
      </c>
      <c r="H291" s="152"/>
      <c r="I291" s="152"/>
      <c r="J291" s="152"/>
      <c r="K291" s="150">
        <v>56.7</v>
      </c>
      <c r="L291" s="151">
        <v>87</v>
      </c>
      <c r="M291" s="151">
        <v>4</v>
      </c>
      <c r="N291" s="154">
        <v>7600.509987250319</v>
      </c>
      <c r="O291" s="146">
        <v>7010</v>
      </c>
      <c r="P291" s="139">
        <v>5739</v>
      </c>
      <c r="Q291" s="139">
        <v>17160</v>
      </c>
      <c r="R291" s="139">
        <v>-11421</v>
      </c>
      <c r="S291" s="146">
        <v>6508</v>
      </c>
      <c r="T291" s="139">
        <v>5684</v>
      </c>
      <c r="U291" s="160"/>
      <c r="W291" s="138">
        <v>-122</v>
      </c>
      <c r="X291" s="138">
        <v>46</v>
      </c>
      <c r="Y291" s="139">
        <v>695</v>
      </c>
      <c r="Z291" s="138">
        <v>352</v>
      </c>
      <c r="AA291" s="139"/>
      <c r="AB291" s="139"/>
      <c r="AC291" s="139">
        <v>343</v>
      </c>
      <c r="AE291" s="139"/>
      <c r="AG291" s="139">
        <v>343</v>
      </c>
      <c r="AH291" s="139">
        <v>795</v>
      </c>
      <c r="AI291" s="139">
        <v>354</v>
      </c>
      <c r="AJ291" s="176"/>
      <c r="AK291" s="139">
        <v>137</v>
      </c>
      <c r="AL291" s="151">
        <v>-255</v>
      </c>
      <c r="AM291" s="151">
        <v>694</v>
      </c>
      <c r="AN291" s="146">
        <v>6508</v>
      </c>
      <c r="AO291" s="139">
        <v>5655</v>
      </c>
      <c r="AP291" s="139">
        <v>325</v>
      </c>
      <c r="AQ291" s="139">
        <v>528</v>
      </c>
      <c r="AR291" s="114">
        <v>20.5</v>
      </c>
      <c r="AS291" s="152"/>
      <c r="AT291" s="138">
        <v>127</v>
      </c>
      <c r="AU291" s="191">
        <v>2324</v>
      </c>
      <c r="AV291" s="146"/>
      <c r="AW291" s="150">
        <v>1.2795180722891566</v>
      </c>
      <c r="AX291" s="150">
        <v>44.4</v>
      </c>
      <c r="AY291" s="151">
        <v>-2510</v>
      </c>
      <c r="AZ291" s="152"/>
      <c r="BA291" s="152"/>
      <c r="BB291" s="152"/>
      <c r="BC291" s="150">
        <v>46.8</v>
      </c>
      <c r="BD291" s="151">
        <v>198</v>
      </c>
      <c r="BE291" s="151">
        <v>8</v>
      </c>
      <c r="BF291" s="154">
        <v>8779.690189328743</v>
      </c>
      <c r="BG291" s="146">
        <v>7037</v>
      </c>
      <c r="BH291" s="139">
        <v>5450</v>
      </c>
      <c r="BI291" s="139">
        <v>17244</v>
      </c>
      <c r="BJ291" s="139">
        <v>-11794</v>
      </c>
      <c r="BK291" s="146">
        <v>6563</v>
      </c>
      <c r="BL291" s="146">
        <v>5734</v>
      </c>
      <c r="BM291" s="160"/>
      <c r="BO291" s="138">
        <v>-160</v>
      </c>
      <c r="BP291" s="138">
        <v>28</v>
      </c>
      <c r="BQ291" s="139">
        <v>371</v>
      </c>
      <c r="BR291" s="138">
        <v>322</v>
      </c>
      <c r="BS291" s="139"/>
      <c r="BT291" s="139"/>
      <c r="BU291" s="139">
        <v>49</v>
      </c>
      <c r="BW291" s="139"/>
      <c r="BY291" s="138">
        <v>49</v>
      </c>
      <c r="BZ291" s="139">
        <v>843</v>
      </c>
      <c r="CA291" s="139">
        <v>345</v>
      </c>
      <c r="CB291" s="176"/>
      <c r="CC291" s="139">
        <v>-699</v>
      </c>
      <c r="CD291" s="151">
        <v>-255</v>
      </c>
      <c r="CE291" s="151">
        <v>-1626</v>
      </c>
      <c r="CF291" s="138">
        <v>6563</v>
      </c>
      <c r="CG291" s="139">
        <v>5768</v>
      </c>
      <c r="CH291" s="139">
        <v>232</v>
      </c>
      <c r="CI291" s="139">
        <v>563</v>
      </c>
      <c r="CJ291" s="114">
        <v>20.5</v>
      </c>
      <c r="CK291" s="152"/>
      <c r="CL291" s="138">
        <v>147</v>
      </c>
      <c r="CM291" s="190">
        <v>2330</v>
      </c>
      <c r="CN291" s="146"/>
      <c r="CO291" s="150">
        <v>-0.15578635014836795</v>
      </c>
      <c r="CP291" s="150">
        <v>44.22012373819603</v>
      </c>
      <c r="CQ291" s="151">
        <v>-2723.6051502145924</v>
      </c>
      <c r="CR291" s="152"/>
      <c r="CS291" s="152"/>
      <c r="CT291" s="152"/>
      <c r="CU291" s="150">
        <v>43.654787344040805</v>
      </c>
      <c r="CV291" s="151">
        <v>218.02575107296138</v>
      </c>
      <c r="CW291" s="151">
        <v>9.370799009450648</v>
      </c>
      <c r="CX291" s="154">
        <v>8492.274678111587</v>
      </c>
      <c r="CY291" s="146">
        <v>7538</v>
      </c>
      <c r="CZ291" s="139">
        <v>5570</v>
      </c>
      <c r="DA291" s="139">
        <v>18549</v>
      </c>
      <c r="DB291" s="139">
        <v>-12979</v>
      </c>
      <c r="DC291" s="146">
        <v>7197</v>
      </c>
      <c r="DD291" s="146">
        <v>5659</v>
      </c>
      <c r="DE291" s="160"/>
      <c r="DG291" s="138">
        <v>-139</v>
      </c>
      <c r="DH291" s="138">
        <v>17</v>
      </c>
      <c r="DI291" s="139">
        <v>-245</v>
      </c>
      <c r="DJ291" s="138">
        <v>370</v>
      </c>
      <c r="DK291" s="139"/>
      <c r="DL291" s="139"/>
      <c r="DM291" s="139">
        <v>-615</v>
      </c>
      <c r="DO291" s="139">
        <v>300</v>
      </c>
      <c r="DQ291" s="138">
        <v>-315</v>
      </c>
      <c r="DR291" s="139">
        <v>529</v>
      </c>
      <c r="DS291" s="139">
        <v>-259</v>
      </c>
      <c r="DT291" s="176"/>
      <c r="DU291" s="139">
        <v>267</v>
      </c>
      <c r="DV291" s="151">
        <v>-535</v>
      </c>
      <c r="DW291" s="138">
        <v>-716</v>
      </c>
      <c r="DX291" s="138">
        <v>7197</v>
      </c>
      <c r="DY291" s="146">
        <v>6363</v>
      </c>
      <c r="DZ291" s="196">
        <v>259</v>
      </c>
      <c r="EA291" s="146">
        <v>575</v>
      </c>
      <c r="EB291" s="114">
        <v>20.5</v>
      </c>
      <c r="EC291" s="152"/>
      <c r="ED291" s="138">
        <v>293</v>
      </c>
      <c r="EE291" s="138">
        <v>7938</v>
      </c>
      <c r="EF291" s="138">
        <v>7974</v>
      </c>
      <c r="EG291" s="138">
        <v>8713</v>
      </c>
      <c r="EH291" s="138"/>
      <c r="EI291" s="138"/>
      <c r="EJ291" s="138"/>
      <c r="EK291" s="3">
        <v>-344</v>
      </c>
      <c r="EL291" s="138">
        <v>6</v>
      </c>
      <c r="EM291" s="138">
        <v>678</v>
      </c>
      <c r="EN291" s="3">
        <v>-2745</v>
      </c>
      <c r="EO291" s="138">
        <v>742</v>
      </c>
      <c r="EP291" s="138">
        <v>32</v>
      </c>
      <c r="EQ291" s="3">
        <v>-564</v>
      </c>
      <c r="ER291" s="138">
        <v>75</v>
      </c>
      <c r="ES291" s="138">
        <v>32</v>
      </c>
      <c r="ET291" s="163"/>
      <c r="EU291" s="163"/>
      <c r="EV291" s="138">
        <v>2790</v>
      </c>
      <c r="EW291" s="138"/>
      <c r="EX291" s="138"/>
      <c r="EY291" s="138"/>
      <c r="EZ291" s="138">
        <v>3495</v>
      </c>
      <c r="FA291" s="138">
        <v>3240</v>
      </c>
      <c r="FB291" s="138">
        <v>255</v>
      </c>
      <c r="FC291" s="138">
        <v>279</v>
      </c>
      <c r="FD291" s="138">
        <v>6030</v>
      </c>
      <c r="FE291" s="138">
        <v>5695</v>
      </c>
      <c r="FF291" s="138">
        <v>335</v>
      </c>
      <c r="FG291" s="138">
        <v>279</v>
      </c>
      <c r="FH291" s="138">
        <v>5495</v>
      </c>
      <c r="FI291" s="138">
        <v>5131</v>
      </c>
      <c r="FJ291" s="138">
        <v>364</v>
      </c>
      <c r="FK291" s="138">
        <v>279</v>
      </c>
      <c r="FL291" s="147">
        <v>2778</v>
      </c>
      <c r="FM291" s="147">
        <v>4124.784853700517</v>
      </c>
      <c r="FO291" s="181">
        <f t="shared" si="12"/>
        <v>310.390243902439</v>
      </c>
      <c r="FP291" s="179">
        <f t="shared" si="14"/>
        <v>133.21469695383647</v>
      </c>
      <c r="FR291" s="184"/>
      <c r="FV291" s="184">
        <v>255</v>
      </c>
      <c r="FW291" s="2">
        <f t="shared" si="13"/>
        <v>-255</v>
      </c>
    </row>
    <row r="292" spans="1:179" ht="12.75">
      <c r="A292" s="82">
        <v>921</v>
      </c>
      <c r="B292" s="80" t="s">
        <v>281</v>
      </c>
      <c r="C292" s="191">
        <v>2390</v>
      </c>
      <c r="D292" s="146"/>
      <c r="E292" s="150">
        <v>0.8260355029585799</v>
      </c>
      <c r="F292" s="150">
        <v>17.6</v>
      </c>
      <c r="G292" s="151">
        <v>-610</v>
      </c>
      <c r="H292" s="152"/>
      <c r="I292" s="152"/>
      <c r="J292" s="152"/>
      <c r="K292" s="150">
        <v>73.6</v>
      </c>
      <c r="L292" s="151">
        <v>298</v>
      </c>
      <c r="M292" s="151">
        <v>14</v>
      </c>
      <c r="N292" s="154">
        <v>7830.543933054393</v>
      </c>
      <c r="O292" s="146">
        <v>7349</v>
      </c>
      <c r="P292" s="139">
        <v>2628</v>
      </c>
      <c r="Q292" s="139">
        <v>17039</v>
      </c>
      <c r="R292" s="139">
        <v>-14411</v>
      </c>
      <c r="S292" s="146">
        <v>5606</v>
      </c>
      <c r="T292" s="139">
        <v>9334</v>
      </c>
      <c r="U292" s="160"/>
      <c r="W292" s="138">
        <v>-38</v>
      </c>
      <c r="X292" s="138">
        <v>166</v>
      </c>
      <c r="Y292" s="139">
        <v>657</v>
      </c>
      <c r="Z292" s="138">
        <v>436</v>
      </c>
      <c r="AC292" s="139">
        <v>221</v>
      </c>
      <c r="AG292" s="139">
        <v>221</v>
      </c>
      <c r="AH292" s="139">
        <v>1481</v>
      </c>
      <c r="AI292" s="139">
        <v>611</v>
      </c>
      <c r="AJ292" s="176"/>
      <c r="AK292" s="138">
        <v>547</v>
      </c>
      <c r="AL292" s="151">
        <v>-804</v>
      </c>
      <c r="AM292" s="151">
        <v>-76</v>
      </c>
      <c r="AN292" s="146">
        <v>5606</v>
      </c>
      <c r="AO292" s="139">
        <v>4724</v>
      </c>
      <c r="AP292" s="139">
        <v>505</v>
      </c>
      <c r="AQ292" s="139">
        <v>377</v>
      </c>
      <c r="AR292" s="114">
        <v>20</v>
      </c>
      <c r="AS292" s="152"/>
      <c r="AT292" s="138">
        <v>148</v>
      </c>
      <c r="AU292" s="191">
        <v>2328</v>
      </c>
      <c r="AV292" s="146"/>
      <c r="AW292" s="150">
        <v>1.029126213592233</v>
      </c>
      <c r="AX292" s="150">
        <v>19.5</v>
      </c>
      <c r="AY292" s="151">
        <v>-865</v>
      </c>
      <c r="AZ292" s="152"/>
      <c r="BA292" s="152"/>
      <c r="BB292" s="152"/>
      <c r="BC292" s="150">
        <v>70.8</v>
      </c>
      <c r="BD292" s="151">
        <v>357</v>
      </c>
      <c r="BE292" s="151">
        <v>15</v>
      </c>
      <c r="BF292" s="154">
        <v>8399.05498281787</v>
      </c>
      <c r="BG292" s="146">
        <v>7005</v>
      </c>
      <c r="BH292" s="139">
        <v>2958</v>
      </c>
      <c r="BI292" s="139">
        <v>17848</v>
      </c>
      <c r="BJ292" s="139">
        <v>-14890</v>
      </c>
      <c r="BK292" s="146">
        <v>5101</v>
      </c>
      <c r="BL292" s="146">
        <v>10017</v>
      </c>
      <c r="BM292" s="160"/>
      <c r="BO292" s="138">
        <v>-28</v>
      </c>
      <c r="BP292" s="138">
        <v>190</v>
      </c>
      <c r="BQ292" s="139">
        <v>390</v>
      </c>
      <c r="BR292" s="138">
        <v>475</v>
      </c>
      <c r="BU292" s="139">
        <v>-85</v>
      </c>
      <c r="BY292" s="138">
        <v>-85</v>
      </c>
      <c r="BZ292" s="139">
        <v>1397</v>
      </c>
      <c r="CA292" s="139">
        <v>334</v>
      </c>
      <c r="CB292" s="176"/>
      <c r="CC292" s="138">
        <v>250</v>
      </c>
      <c r="CD292" s="151">
        <v>-378</v>
      </c>
      <c r="CE292" s="151">
        <v>-644</v>
      </c>
      <c r="CF292" s="138">
        <v>5101</v>
      </c>
      <c r="CG292" s="139">
        <v>4405</v>
      </c>
      <c r="CH292" s="139">
        <v>300</v>
      </c>
      <c r="CI292" s="139">
        <v>396</v>
      </c>
      <c r="CJ292" s="114">
        <v>20</v>
      </c>
      <c r="CK292" s="152"/>
      <c r="CL292" s="138">
        <v>143</v>
      </c>
      <c r="CM292" s="190">
        <v>2288</v>
      </c>
      <c r="CN292" s="146"/>
      <c r="CO292" s="150">
        <v>0.6666666666666666</v>
      </c>
      <c r="CP292" s="150">
        <v>35.64366848969289</v>
      </c>
      <c r="CQ292" s="151">
        <v>-2315.9965034965035</v>
      </c>
      <c r="CR292" s="152"/>
      <c r="CS292" s="152"/>
      <c r="CT292" s="152"/>
      <c r="CU292" s="150">
        <v>58.74753274717387</v>
      </c>
      <c r="CV292" s="151">
        <v>378.0594405594406</v>
      </c>
      <c r="CW292" s="151">
        <v>13.71226927252986</v>
      </c>
      <c r="CX292" s="154">
        <v>10063.374125874127</v>
      </c>
      <c r="CY292" s="146">
        <v>7334</v>
      </c>
      <c r="CZ292" s="139">
        <v>2952</v>
      </c>
      <c r="DA292" s="139">
        <v>19004</v>
      </c>
      <c r="DB292" s="139">
        <v>-16052</v>
      </c>
      <c r="DC292" s="146">
        <v>5697</v>
      </c>
      <c r="DD292" s="146">
        <v>10367</v>
      </c>
      <c r="DE292" s="160"/>
      <c r="DG292" s="138">
        <v>-43</v>
      </c>
      <c r="DH292" s="138">
        <v>220</v>
      </c>
      <c r="DI292" s="139">
        <v>189</v>
      </c>
      <c r="DJ292" s="138">
        <v>520</v>
      </c>
      <c r="DM292" s="139">
        <v>-331</v>
      </c>
      <c r="DQ292" s="138">
        <v>-331</v>
      </c>
      <c r="DR292" s="139">
        <v>1066</v>
      </c>
      <c r="DS292" s="139">
        <v>396</v>
      </c>
      <c r="DT292" s="176"/>
      <c r="DU292" s="138">
        <v>69</v>
      </c>
      <c r="DV292" s="151">
        <v>-306</v>
      </c>
      <c r="DW292" s="138">
        <v>-3223</v>
      </c>
      <c r="DX292" s="138">
        <v>5697</v>
      </c>
      <c r="DY292" s="146">
        <v>4905</v>
      </c>
      <c r="DZ292" s="196">
        <v>376</v>
      </c>
      <c r="EA292" s="146">
        <v>416</v>
      </c>
      <c r="EB292" s="114">
        <v>20</v>
      </c>
      <c r="EC292" s="152"/>
      <c r="ED292" s="138">
        <v>251</v>
      </c>
      <c r="EE292" s="138">
        <v>7951</v>
      </c>
      <c r="EF292" s="138">
        <v>9054</v>
      </c>
      <c r="EG292" s="138">
        <v>9439</v>
      </c>
      <c r="EH292" s="138"/>
      <c r="EI292" s="138"/>
      <c r="EJ292" s="138"/>
      <c r="EK292" s="3">
        <v>-776</v>
      </c>
      <c r="EL292" s="138">
        <v>30</v>
      </c>
      <c r="EM292" s="138">
        <v>59</v>
      </c>
      <c r="EN292" s="3">
        <v>-1290</v>
      </c>
      <c r="EO292" s="138">
        <v>141</v>
      </c>
      <c r="EP292" s="138">
        <v>171</v>
      </c>
      <c r="EQ292" s="3">
        <v>-3643</v>
      </c>
      <c r="ES292" s="138">
        <v>24</v>
      </c>
      <c r="ET292" s="163">
        <v>900</v>
      </c>
      <c r="EU292" s="163"/>
      <c r="EV292" s="138">
        <v>500</v>
      </c>
      <c r="EW292" s="138"/>
      <c r="EX292" s="138">
        <v>3300</v>
      </c>
      <c r="EY292" s="138"/>
      <c r="EZ292" s="138">
        <v>1508</v>
      </c>
      <c r="FA292" s="138">
        <v>1130</v>
      </c>
      <c r="FB292" s="138">
        <v>378</v>
      </c>
      <c r="FC292" s="138">
        <v>945</v>
      </c>
      <c r="FD292" s="138">
        <v>1630</v>
      </c>
      <c r="FE292" s="138">
        <v>1362</v>
      </c>
      <c r="FF292" s="138">
        <v>268</v>
      </c>
      <c r="FG292" s="138">
        <v>934</v>
      </c>
      <c r="FH292" s="138">
        <v>4625</v>
      </c>
      <c r="FI292" s="138">
        <v>4272</v>
      </c>
      <c r="FJ292" s="138">
        <v>353</v>
      </c>
      <c r="FK292" s="138">
        <v>895</v>
      </c>
      <c r="FL292" s="147">
        <v>2267</v>
      </c>
      <c r="FM292" s="147">
        <v>2531.786941580756</v>
      </c>
      <c r="FO292" s="181">
        <f t="shared" si="12"/>
        <v>245.25</v>
      </c>
      <c r="FP292" s="179">
        <f t="shared" si="14"/>
        <v>107.1896853146853</v>
      </c>
      <c r="FR292" s="184"/>
      <c r="FV292" s="184">
        <v>804</v>
      </c>
      <c r="FW292" s="2">
        <f t="shared" si="13"/>
        <v>-804</v>
      </c>
    </row>
    <row r="293" spans="1:179" ht="12.75">
      <c r="A293" s="82">
        <v>922</v>
      </c>
      <c r="B293" s="80" t="s">
        <v>282</v>
      </c>
      <c r="C293" s="191">
        <v>4383</v>
      </c>
      <c r="D293" s="146"/>
      <c r="E293" s="150">
        <v>0.5779467680608364</v>
      </c>
      <c r="F293" s="150">
        <v>65.7</v>
      </c>
      <c r="G293" s="151">
        <v>-3256</v>
      </c>
      <c r="H293" s="152"/>
      <c r="I293" s="152"/>
      <c r="J293" s="152"/>
      <c r="K293" s="150">
        <v>42</v>
      </c>
      <c r="L293" s="151">
        <v>177</v>
      </c>
      <c r="M293" s="151">
        <v>10</v>
      </c>
      <c r="N293" s="154">
        <v>6179.101072324892</v>
      </c>
      <c r="O293" s="146">
        <v>11469</v>
      </c>
      <c r="P293" s="139">
        <v>3084</v>
      </c>
      <c r="Q293" s="139">
        <v>23448</v>
      </c>
      <c r="R293" s="139">
        <v>-20364</v>
      </c>
      <c r="S293" s="146">
        <v>12819</v>
      </c>
      <c r="T293" s="139">
        <v>8836</v>
      </c>
      <c r="U293" s="160"/>
      <c r="W293" s="138">
        <v>-494</v>
      </c>
      <c r="X293" s="138">
        <v>67</v>
      </c>
      <c r="Y293" s="139">
        <v>864</v>
      </c>
      <c r="Z293" s="138">
        <v>1512</v>
      </c>
      <c r="AC293" s="139">
        <v>-648</v>
      </c>
      <c r="AD293" s="139">
        <v>39</v>
      </c>
      <c r="AE293" s="139"/>
      <c r="AG293" s="139">
        <v>-609</v>
      </c>
      <c r="AH293" s="139">
        <v>2892</v>
      </c>
      <c r="AI293" s="139">
        <v>533</v>
      </c>
      <c r="AJ293" s="176"/>
      <c r="AK293" s="138">
        <v>-294</v>
      </c>
      <c r="AL293" s="151">
        <v>-1863</v>
      </c>
      <c r="AM293" s="151">
        <v>58</v>
      </c>
      <c r="AN293" s="146">
        <v>12819</v>
      </c>
      <c r="AO293" s="139">
        <v>11789</v>
      </c>
      <c r="AP293" s="139">
        <v>410</v>
      </c>
      <c r="AQ293" s="139">
        <v>620</v>
      </c>
      <c r="AR293" s="114">
        <v>20.5</v>
      </c>
      <c r="AS293" s="152"/>
      <c r="AT293" s="138">
        <v>203</v>
      </c>
      <c r="AU293" s="191">
        <v>4437</v>
      </c>
      <c r="AV293" s="146"/>
      <c r="AW293" s="150">
        <v>0.530236634531113</v>
      </c>
      <c r="AX293" s="150">
        <v>67.4</v>
      </c>
      <c r="AY293" s="151">
        <v>-3574</v>
      </c>
      <c r="AZ293" s="152"/>
      <c r="BA293" s="152"/>
      <c r="BB293" s="152"/>
      <c r="BC293" s="150">
        <v>39.2</v>
      </c>
      <c r="BD293" s="151">
        <v>112</v>
      </c>
      <c r="BE293" s="151">
        <v>6</v>
      </c>
      <c r="BF293" s="154">
        <v>6622.718052738337</v>
      </c>
      <c r="BG293" s="146">
        <v>12248</v>
      </c>
      <c r="BH293" s="139">
        <v>3122</v>
      </c>
      <c r="BI293" s="139">
        <v>24627</v>
      </c>
      <c r="BJ293" s="139">
        <v>-21505</v>
      </c>
      <c r="BK293" s="146">
        <v>13500</v>
      </c>
      <c r="BL293" s="146">
        <v>9148</v>
      </c>
      <c r="BM293" s="160"/>
      <c r="BO293" s="138">
        <v>-349</v>
      </c>
      <c r="BP293" s="138">
        <v>65</v>
      </c>
      <c r="BQ293" s="139">
        <v>859</v>
      </c>
      <c r="BR293" s="138">
        <v>1456</v>
      </c>
      <c r="BU293" s="139">
        <v>-597</v>
      </c>
      <c r="BV293" s="139">
        <v>39</v>
      </c>
      <c r="BW293" s="139"/>
      <c r="BY293" s="138">
        <v>-558</v>
      </c>
      <c r="BZ293" s="139">
        <v>2334</v>
      </c>
      <c r="CA293" s="139">
        <v>720</v>
      </c>
      <c r="CB293" s="176"/>
      <c r="CC293" s="138">
        <v>193</v>
      </c>
      <c r="CD293" s="151">
        <v>-1931</v>
      </c>
      <c r="CE293" s="151">
        <v>-1604</v>
      </c>
      <c r="CF293" s="138">
        <v>13500</v>
      </c>
      <c r="CG293" s="139">
        <v>12484</v>
      </c>
      <c r="CH293" s="139">
        <v>238</v>
      </c>
      <c r="CI293" s="139">
        <v>778</v>
      </c>
      <c r="CJ293" s="114">
        <v>20.5</v>
      </c>
      <c r="CK293" s="152"/>
      <c r="CL293" s="138">
        <v>119</v>
      </c>
      <c r="CM293" s="190">
        <v>4473</v>
      </c>
      <c r="CN293" s="146"/>
      <c r="CO293" s="150">
        <v>0.3694013303769401</v>
      </c>
      <c r="CP293" s="150">
        <v>73.55136331245546</v>
      </c>
      <c r="CQ293" s="151">
        <v>-3955.063715627096</v>
      </c>
      <c r="CR293" s="152"/>
      <c r="CS293" s="152"/>
      <c r="CT293" s="152"/>
      <c r="CU293" s="150">
        <v>35.90937005074501</v>
      </c>
      <c r="CV293" s="151">
        <v>247.70847306058573</v>
      </c>
      <c r="CW293" s="151">
        <v>12.69525364138624</v>
      </c>
      <c r="CX293" s="154">
        <v>7121.842164095686</v>
      </c>
      <c r="CY293" s="146">
        <v>8818</v>
      </c>
      <c r="CZ293" s="139">
        <v>3371</v>
      </c>
      <c r="DA293" s="139">
        <v>25866</v>
      </c>
      <c r="DB293" s="139">
        <v>-22495</v>
      </c>
      <c r="DC293" s="146">
        <v>14364</v>
      </c>
      <c r="DD293" s="146">
        <v>8928</v>
      </c>
      <c r="DE293" s="160"/>
      <c r="DG293" s="138">
        <v>-244</v>
      </c>
      <c r="DH293" s="138">
        <v>34</v>
      </c>
      <c r="DI293" s="139">
        <v>587</v>
      </c>
      <c r="DJ293" s="138">
        <v>1602</v>
      </c>
      <c r="DK293" s="138">
        <v>777</v>
      </c>
      <c r="DM293" s="139">
        <v>-238</v>
      </c>
      <c r="DN293" s="139">
        <v>39</v>
      </c>
      <c r="DO293" s="139"/>
      <c r="DQ293" s="138">
        <v>-199</v>
      </c>
      <c r="DR293" s="139">
        <v>2136</v>
      </c>
      <c r="DS293" s="139">
        <v>1176</v>
      </c>
      <c r="DT293" s="176"/>
      <c r="DU293" s="138">
        <v>197</v>
      </c>
      <c r="DV293" s="151">
        <v>-2009</v>
      </c>
      <c r="DW293" s="138">
        <v>-1839</v>
      </c>
      <c r="DX293" s="138">
        <v>14364</v>
      </c>
      <c r="DY293" s="146">
        <v>13260</v>
      </c>
      <c r="DZ293" s="196">
        <v>279</v>
      </c>
      <c r="EA293" s="146">
        <v>825</v>
      </c>
      <c r="EB293" s="114">
        <v>20.5</v>
      </c>
      <c r="EC293" s="152"/>
      <c r="ED293" s="138">
        <v>233</v>
      </c>
      <c r="EE293" s="138">
        <v>8969</v>
      </c>
      <c r="EF293" s="138">
        <v>9249</v>
      </c>
      <c r="EG293" s="138">
        <v>14713</v>
      </c>
      <c r="EH293" s="138"/>
      <c r="EI293" s="138"/>
      <c r="EJ293" s="138"/>
      <c r="EK293" s="3">
        <v>-1267</v>
      </c>
      <c r="EL293" s="138">
        <v>376</v>
      </c>
      <c r="EM293" s="138">
        <v>416</v>
      </c>
      <c r="EN293" s="3">
        <v>-2476</v>
      </c>
      <c r="EO293" s="138"/>
      <c r="EP293" s="138">
        <v>152</v>
      </c>
      <c r="EQ293" s="3">
        <v>-3614</v>
      </c>
      <c r="ER293" s="138">
        <v>79</v>
      </c>
      <c r="ES293" s="138">
        <v>520</v>
      </c>
      <c r="ET293" s="163">
        <v>79</v>
      </c>
      <c r="EU293" s="163"/>
      <c r="EV293" s="138"/>
      <c r="EW293" s="138">
        <v>3000</v>
      </c>
      <c r="EX293" s="138">
        <v>3000</v>
      </c>
      <c r="EY293" s="138">
        <v>1200</v>
      </c>
      <c r="EZ293" s="138">
        <v>11853</v>
      </c>
      <c r="FA293" s="138">
        <v>9983</v>
      </c>
      <c r="FB293" s="138">
        <v>1870</v>
      </c>
      <c r="FC293" s="138">
        <v>0</v>
      </c>
      <c r="FD293" s="138">
        <v>12921</v>
      </c>
      <c r="FE293" s="138">
        <v>8063</v>
      </c>
      <c r="FF293" s="138">
        <v>4858</v>
      </c>
      <c r="FG293" s="138">
        <v>0</v>
      </c>
      <c r="FH293" s="138">
        <v>15114</v>
      </c>
      <c r="FI293" s="138">
        <v>8766</v>
      </c>
      <c r="FJ293" s="138">
        <v>6348</v>
      </c>
      <c r="FK293" s="138">
        <v>0</v>
      </c>
      <c r="FL293" s="147">
        <v>2851</v>
      </c>
      <c r="FM293" s="147">
        <v>3046.2023890015776</v>
      </c>
      <c r="FO293" s="181">
        <f t="shared" si="12"/>
        <v>646.829268292683</v>
      </c>
      <c r="FP293" s="179">
        <f t="shared" si="14"/>
        <v>144.60748229212675</v>
      </c>
      <c r="FR293" s="184"/>
      <c r="FV293" s="184">
        <v>1863</v>
      </c>
      <c r="FW293" s="2">
        <f t="shared" si="13"/>
        <v>-1863</v>
      </c>
    </row>
    <row r="294" spans="1:179" ht="12.75">
      <c r="A294" s="82">
        <v>924</v>
      </c>
      <c r="B294" s="80" t="s">
        <v>283</v>
      </c>
      <c r="C294" s="191">
        <v>3405</v>
      </c>
      <c r="D294" s="146"/>
      <c r="E294" s="150">
        <v>0.38646482635796975</v>
      </c>
      <c r="F294" s="150">
        <v>42.4</v>
      </c>
      <c r="G294" s="151">
        <v>-2327</v>
      </c>
      <c r="H294" s="152"/>
      <c r="I294" s="152"/>
      <c r="J294" s="152"/>
      <c r="K294" s="150">
        <v>45</v>
      </c>
      <c r="L294" s="151">
        <v>73</v>
      </c>
      <c r="M294" s="151">
        <v>4</v>
      </c>
      <c r="N294" s="154">
        <v>6656.681350954479</v>
      </c>
      <c r="O294" s="146">
        <v>6169</v>
      </c>
      <c r="P294" s="139">
        <v>1948</v>
      </c>
      <c r="Q294" s="139">
        <v>20659</v>
      </c>
      <c r="R294" s="139">
        <v>-18711</v>
      </c>
      <c r="S294" s="146">
        <v>9541</v>
      </c>
      <c r="T294" s="139">
        <v>9375</v>
      </c>
      <c r="U294" s="160"/>
      <c r="W294" s="138">
        <v>-130</v>
      </c>
      <c r="X294" s="138">
        <v>225</v>
      </c>
      <c r="Y294" s="139">
        <v>300</v>
      </c>
      <c r="Z294" s="138">
        <v>796</v>
      </c>
      <c r="AA294" s="139"/>
      <c r="AC294" s="139">
        <v>-496</v>
      </c>
      <c r="AD294" s="138">
        <v>8</v>
      </c>
      <c r="AG294" s="139">
        <v>-488</v>
      </c>
      <c r="AH294" s="139">
        <v>-450</v>
      </c>
      <c r="AI294" s="139">
        <v>313</v>
      </c>
      <c r="AJ294" s="176"/>
      <c r="AK294" s="139">
        <v>-180</v>
      </c>
      <c r="AL294" s="151">
        <v>-989</v>
      </c>
      <c r="AM294" s="151">
        <v>-304</v>
      </c>
      <c r="AN294" s="146">
        <v>9541</v>
      </c>
      <c r="AO294" s="139">
        <v>8416</v>
      </c>
      <c r="AP294" s="139">
        <v>532</v>
      </c>
      <c r="AQ294" s="139">
        <v>593</v>
      </c>
      <c r="AR294" s="114">
        <v>20.75</v>
      </c>
      <c r="AS294" s="152"/>
      <c r="AT294" s="138">
        <v>250</v>
      </c>
      <c r="AU294" s="191">
        <v>3382</v>
      </c>
      <c r="AV294" s="146"/>
      <c r="AW294" s="150">
        <v>-0.6357758620689655</v>
      </c>
      <c r="AX294" s="150">
        <v>54.6</v>
      </c>
      <c r="AY294" s="151">
        <v>-3035</v>
      </c>
      <c r="AZ294" s="152"/>
      <c r="BA294" s="152"/>
      <c r="BB294" s="152"/>
      <c r="BC294" s="150">
        <v>34.3</v>
      </c>
      <c r="BD294" s="151">
        <v>141</v>
      </c>
      <c r="BE294" s="151">
        <v>7</v>
      </c>
      <c r="BF294" s="154">
        <v>7175.931401537552</v>
      </c>
      <c r="BG294" s="146">
        <v>6327</v>
      </c>
      <c r="BH294" s="139">
        <v>2115</v>
      </c>
      <c r="BI294" s="139">
        <v>21353</v>
      </c>
      <c r="BJ294" s="139">
        <v>-19238</v>
      </c>
      <c r="BK294" s="146">
        <v>9289</v>
      </c>
      <c r="BL294" s="146">
        <v>9152</v>
      </c>
      <c r="BM294" s="160"/>
      <c r="BO294" s="138">
        <v>-88</v>
      </c>
      <c r="BP294" s="138">
        <v>206</v>
      </c>
      <c r="BQ294" s="139">
        <v>-679</v>
      </c>
      <c r="BR294" s="138">
        <v>837</v>
      </c>
      <c r="BS294" s="139"/>
      <c r="BU294" s="139">
        <v>-1516</v>
      </c>
      <c r="BV294" s="138">
        <v>8</v>
      </c>
      <c r="BY294" s="138">
        <v>-1508</v>
      </c>
      <c r="BZ294" s="139">
        <v>-1907</v>
      </c>
      <c r="CA294" s="139">
        <v>-751</v>
      </c>
      <c r="CB294" s="176"/>
      <c r="CC294" s="139">
        <v>208</v>
      </c>
      <c r="CD294" s="151">
        <v>-839</v>
      </c>
      <c r="CE294" s="151">
        <v>-2245</v>
      </c>
      <c r="CF294" s="138">
        <v>9289</v>
      </c>
      <c r="CG294" s="139">
        <v>8324</v>
      </c>
      <c r="CH294" s="139">
        <v>355</v>
      </c>
      <c r="CI294" s="139">
        <v>610</v>
      </c>
      <c r="CJ294" s="114">
        <v>21</v>
      </c>
      <c r="CK294" s="152"/>
      <c r="CL294" s="138">
        <v>308</v>
      </c>
      <c r="CM294" s="190">
        <v>3332</v>
      </c>
      <c r="CN294" s="146"/>
      <c r="CO294" s="150">
        <v>0.5323159784560144</v>
      </c>
      <c r="CP294" s="150">
        <v>65.84757990468279</v>
      </c>
      <c r="CQ294" s="151">
        <v>-4025.510204081633</v>
      </c>
      <c r="CR294" s="152"/>
      <c r="CS294" s="152"/>
      <c r="CT294" s="152"/>
      <c r="CU294" s="150">
        <v>26.2186187359578</v>
      </c>
      <c r="CV294" s="151">
        <v>347.5390156062425</v>
      </c>
      <c r="CW294" s="151">
        <v>15.518798648847113</v>
      </c>
      <c r="CX294" s="154">
        <v>8174.069627851141</v>
      </c>
      <c r="CY294" s="146">
        <v>6739</v>
      </c>
      <c r="CZ294" s="139">
        <v>2908</v>
      </c>
      <c r="DA294" s="139">
        <v>22490</v>
      </c>
      <c r="DB294" s="139">
        <v>-19582</v>
      </c>
      <c r="DC294" s="146">
        <v>9938</v>
      </c>
      <c r="DD294" s="146">
        <v>10025</v>
      </c>
      <c r="DE294" s="160"/>
      <c r="DG294" s="138">
        <v>-99</v>
      </c>
      <c r="DH294" s="138">
        <v>206</v>
      </c>
      <c r="DI294" s="139">
        <v>488</v>
      </c>
      <c r="DJ294" s="138">
        <v>1016</v>
      </c>
      <c r="DK294" s="139"/>
      <c r="DM294" s="139">
        <v>-528</v>
      </c>
      <c r="DN294" s="138">
        <v>8</v>
      </c>
      <c r="DQ294" s="138">
        <v>-520</v>
      </c>
      <c r="DR294" s="139">
        <v>-2422</v>
      </c>
      <c r="DS294" s="139">
        <v>481</v>
      </c>
      <c r="DT294" s="176"/>
      <c r="DU294" s="139">
        <v>-12</v>
      </c>
      <c r="DV294" s="151">
        <v>-1009</v>
      </c>
      <c r="DW294" s="138">
        <v>-3094</v>
      </c>
      <c r="DX294" s="138">
        <v>9938</v>
      </c>
      <c r="DY294" s="146">
        <v>8789</v>
      </c>
      <c r="DZ294" s="196">
        <v>507</v>
      </c>
      <c r="EA294" s="146">
        <v>642</v>
      </c>
      <c r="EB294" s="114">
        <v>21</v>
      </c>
      <c r="EC294" s="152"/>
      <c r="ED294" s="138">
        <v>226</v>
      </c>
      <c r="EE294" s="138">
        <v>12819</v>
      </c>
      <c r="EF294" s="138">
        <v>13430</v>
      </c>
      <c r="EG294" s="138">
        <v>13971</v>
      </c>
      <c r="EH294" s="138">
        <v>520</v>
      </c>
      <c r="EI294" s="138"/>
      <c r="EJ294" s="138">
        <v>470</v>
      </c>
      <c r="EK294" s="3">
        <v>-881</v>
      </c>
      <c r="EL294" s="138">
        <v>149</v>
      </c>
      <c r="EM294" s="138">
        <v>115</v>
      </c>
      <c r="EN294" s="3">
        <v>-1986</v>
      </c>
      <c r="EO294" s="138">
        <v>116</v>
      </c>
      <c r="EP294" s="138">
        <v>376</v>
      </c>
      <c r="EQ294" s="3">
        <v>-3596</v>
      </c>
      <c r="ER294" s="138">
        <v>13</v>
      </c>
      <c r="ES294" s="138">
        <v>8</v>
      </c>
      <c r="ET294" s="163"/>
      <c r="EU294" s="163">
        <v>530</v>
      </c>
      <c r="EV294" s="138">
        <v>1800</v>
      </c>
      <c r="EW294" s="138">
        <v>1140</v>
      </c>
      <c r="EX294" s="138">
        <v>3000</v>
      </c>
      <c r="EY294" s="138">
        <v>1820</v>
      </c>
      <c r="EZ294" s="138">
        <v>6401</v>
      </c>
      <c r="FA294" s="138">
        <v>4122</v>
      </c>
      <c r="FB294" s="138">
        <v>2279</v>
      </c>
      <c r="FC294" s="138">
        <v>0</v>
      </c>
      <c r="FD294" s="138">
        <v>8501</v>
      </c>
      <c r="FE294" s="138">
        <v>4912</v>
      </c>
      <c r="FF294" s="138">
        <v>3589</v>
      </c>
      <c r="FG294" s="138">
        <v>0</v>
      </c>
      <c r="FH294" s="138">
        <v>12313</v>
      </c>
      <c r="FI294" s="138">
        <v>6705</v>
      </c>
      <c r="FJ294" s="138">
        <v>5608</v>
      </c>
      <c r="FK294" s="138">
        <v>0</v>
      </c>
      <c r="FL294" s="147">
        <v>4594</v>
      </c>
      <c r="FM294" s="147">
        <v>5774.689532820817</v>
      </c>
      <c r="FO294" s="181">
        <f t="shared" si="12"/>
        <v>418.5238095238095</v>
      </c>
      <c r="FP294" s="179">
        <f t="shared" si="14"/>
        <v>125.60738581146744</v>
      </c>
      <c r="FR294" s="184"/>
      <c r="FV294" s="184">
        <v>989</v>
      </c>
      <c r="FW294" s="2">
        <f t="shared" si="13"/>
        <v>-989</v>
      </c>
    </row>
    <row r="295" spans="1:179" ht="12.75">
      <c r="A295" s="82">
        <v>925</v>
      </c>
      <c r="B295" s="80" t="s">
        <v>284</v>
      </c>
      <c r="C295" s="191">
        <v>3962</v>
      </c>
      <c r="D295" s="146"/>
      <c r="E295" s="150">
        <v>1.453781512605042</v>
      </c>
      <c r="F295" s="150">
        <v>25</v>
      </c>
      <c r="G295" s="151">
        <v>-1052</v>
      </c>
      <c r="H295" s="152"/>
      <c r="I295" s="152"/>
      <c r="J295" s="152"/>
      <c r="K295" s="150">
        <v>69.5</v>
      </c>
      <c r="L295" s="151">
        <v>228</v>
      </c>
      <c r="M295" s="151">
        <v>14</v>
      </c>
      <c r="N295" s="154">
        <v>5891.4689550731955</v>
      </c>
      <c r="O295" s="146">
        <v>6467</v>
      </c>
      <c r="P295" s="139">
        <v>2204</v>
      </c>
      <c r="Q295" s="139">
        <v>22014</v>
      </c>
      <c r="R295" s="139">
        <v>-19810</v>
      </c>
      <c r="S295" s="146">
        <v>11316</v>
      </c>
      <c r="T295" s="139">
        <v>9035</v>
      </c>
      <c r="U295" s="160"/>
      <c r="W295" s="138">
        <v>-94</v>
      </c>
      <c r="X295" s="138">
        <v>316</v>
      </c>
      <c r="Y295" s="139">
        <v>763</v>
      </c>
      <c r="Z295" s="138">
        <v>618</v>
      </c>
      <c r="AC295" s="139">
        <v>145</v>
      </c>
      <c r="AD295" s="139">
        <v>18</v>
      </c>
      <c r="AE295" s="139"/>
      <c r="AG295" s="139">
        <v>163</v>
      </c>
      <c r="AH295" s="139">
        <v>926</v>
      </c>
      <c r="AI295" s="139">
        <v>729</v>
      </c>
      <c r="AJ295" s="176"/>
      <c r="AK295" s="139">
        <v>980</v>
      </c>
      <c r="AL295" s="151">
        <v>-493</v>
      </c>
      <c r="AM295" s="151">
        <v>1077</v>
      </c>
      <c r="AN295" s="146">
        <v>11316</v>
      </c>
      <c r="AO295" s="139">
        <v>9117</v>
      </c>
      <c r="AP295" s="139">
        <v>1597</v>
      </c>
      <c r="AQ295" s="139">
        <v>602</v>
      </c>
      <c r="AR295" s="114">
        <v>19.75</v>
      </c>
      <c r="AS295" s="152"/>
      <c r="AT295" s="138">
        <v>206</v>
      </c>
      <c r="AU295" s="191">
        <v>3930</v>
      </c>
      <c r="AV295" s="146"/>
      <c r="AW295" s="150">
        <v>-0.7369337979094077</v>
      </c>
      <c r="AX295" s="150">
        <v>28.9</v>
      </c>
      <c r="AY295" s="151">
        <v>-1317</v>
      </c>
      <c r="AZ295" s="152"/>
      <c r="BA295" s="152"/>
      <c r="BB295" s="152"/>
      <c r="BC295" s="150">
        <v>64.3</v>
      </c>
      <c r="BD295" s="151">
        <v>254</v>
      </c>
      <c r="BE295" s="151">
        <v>15</v>
      </c>
      <c r="BF295" s="154">
        <v>6250.127226463104</v>
      </c>
      <c r="BG295" s="146">
        <v>6536</v>
      </c>
      <c r="BH295" s="139">
        <v>2114</v>
      </c>
      <c r="BI295" s="139">
        <v>23253</v>
      </c>
      <c r="BJ295" s="139">
        <v>-21139</v>
      </c>
      <c r="BK295" s="146">
        <v>10956</v>
      </c>
      <c r="BL295" s="146">
        <v>9479</v>
      </c>
      <c r="BM295" s="160"/>
      <c r="BO295" s="138">
        <v>-59</v>
      </c>
      <c r="BP295" s="138">
        <v>260</v>
      </c>
      <c r="BQ295" s="139">
        <v>-503</v>
      </c>
      <c r="BR295" s="138">
        <v>685</v>
      </c>
      <c r="BU295" s="139">
        <v>-1188</v>
      </c>
      <c r="BV295" s="139">
        <v>18</v>
      </c>
      <c r="BW295" s="139"/>
      <c r="BY295" s="138">
        <v>-1170</v>
      </c>
      <c r="BZ295" s="139">
        <v>-244</v>
      </c>
      <c r="CA295" s="139">
        <v>-560</v>
      </c>
      <c r="CB295" s="176"/>
      <c r="CC295" s="139">
        <v>210</v>
      </c>
      <c r="CD295" s="151">
        <v>-494</v>
      </c>
      <c r="CE295" s="151">
        <v>-1152</v>
      </c>
      <c r="CF295" s="138">
        <v>10956</v>
      </c>
      <c r="CG295" s="139">
        <v>9439</v>
      </c>
      <c r="CH295" s="139">
        <v>874</v>
      </c>
      <c r="CI295" s="139">
        <v>643</v>
      </c>
      <c r="CJ295" s="114">
        <v>19.75</v>
      </c>
      <c r="CK295" s="152"/>
      <c r="CL295" s="138">
        <v>288</v>
      </c>
      <c r="CM295" s="190">
        <v>3874</v>
      </c>
      <c r="CN295" s="146"/>
      <c r="CO295" s="150">
        <v>0.670863309352518</v>
      </c>
      <c r="CP295" s="150">
        <v>28.887214267771917</v>
      </c>
      <c r="CQ295" s="151">
        <v>-1404.7496128033042</v>
      </c>
      <c r="CR295" s="152"/>
      <c r="CS295" s="152"/>
      <c r="CT295" s="152"/>
      <c r="CU295" s="150">
        <v>61.43167753804984</v>
      </c>
      <c r="CV295" s="151">
        <v>217.60454310789882</v>
      </c>
      <c r="CW295" s="151">
        <v>12.19270090347123</v>
      </c>
      <c r="CX295" s="154">
        <v>6514.197212183789</v>
      </c>
      <c r="CY295" s="146">
        <v>6619</v>
      </c>
      <c r="CZ295" s="139">
        <v>2079</v>
      </c>
      <c r="DA295" s="139">
        <v>24014</v>
      </c>
      <c r="DB295" s="139">
        <v>-21935</v>
      </c>
      <c r="DC295" s="146">
        <v>11404</v>
      </c>
      <c r="DD295" s="146">
        <v>10403</v>
      </c>
      <c r="DE295" s="160"/>
      <c r="DG295" s="138">
        <v>-45</v>
      </c>
      <c r="DH295" s="138">
        <v>484</v>
      </c>
      <c r="DI295" s="139">
        <v>311</v>
      </c>
      <c r="DJ295" s="138">
        <v>1059</v>
      </c>
      <c r="DM295" s="139">
        <v>-748</v>
      </c>
      <c r="DN295" s="139">
        <v>18</v>
      </c>
      <c r="DO295" s="139"/>
      <c r="DQ295" s="138">
        <v>-730</v>
      </c>
      <c r="DR295" s="139">
        <v>-974</v>
      </c>
      <c r="DS295" s="139">
        <v>310</v>
      </c>
      <c r="DT295" s="176"/>
      <c r="DU295" s="139">
        <v>-265</v>
      </c>
      <c r="DV295" s="151">
        <v>-494</v>
      </c>
      <c r="DW295" s="138">
        <v>-350</v>
      </c>
      <c r="DX295" s="138">
        <v>11404</v>
      </c>
      <c r="DY295" s="146">
        <v>9045</v>
      </c>
      <c r="DZ295" s="196">
        <v>1693</v>
      </c>
      <c r="EA295" s="146">
        <v>666</v>
      </c>
      <c r="EB295" s="114">
        <v>19.75</v>
      </c>
      <c r="EC295" s="152"/>
      <c r="ED295" s="138">
        <v>252</v>
      </c>
      <c r="EE295" s="138">
        <v>13814</v>
      </c>
      <c r="EF295" s="138">
        <v>14839</v>
      </c>
      <c r="EG295" s="138">
        <v>15530</v>
      </c>
      <c r="EH295" s="138"/>
      <c r="EI295" s="138"/>
      <c r="EJ295" s="138"/>
      <c r="EK295" s="3">
        <v>-729</v>
      </c>
      <c r="EL295" s="138"/>
      <c r="EM295" s="138">
        <v>1077</v>
      </c>
      <c r="EN295" s="3">
        <v>-732</v>
      </c>
      <c r="EO295" s="138">
        <v>15</v>
      </c>
      <c r="EP295" s="138">
        <v>125</v>
      </c>
      <c r="EQ295" s="3">
        <v>-662</v>
      </c>
      <c r="ES295" s="138">
        <v>2</v>
      </c>
      <c r="ET295" s="163"/>
      <c r="EU295" s="163">
        <v>-727</v>
      </c>
      <c r="EV295" s="138"/>
      <c r="EW295" s="138">
        <v>1</v>
      </c>
      <c r="EX295" s="138"/>
      <c r="EY295" s="138"/>
      <c r="EZ295" s="138">
        <v>3194</v>
      </c>
      <c r="FA295" s="138">
        <v>2701</v>
      </c>
      <c r="FB295" s="138">
        <v>493</v>
      </c>
      <c r="FC295" s="138">
        <v>1142</v>
      </c>
      <c r="FD295" s="138">
        <v>2701</v>
      </c>
      <c r="FE295" s="138">
        <v>2206</v>
      </c>
      <c r="FF295" s="138">
        <v>495</v>
      </c>
      <c r="FG295" s="138">
        <v>1001</v>
      </c>
      <c r="FH295" s="138">
        <v>2207</v>
      </c>
      <c r="FI295" s="138">
        <v>1708</v>
      </c>
      <c r="FJ295" s="138">
        <v>499</v>
      </c>
      <c r="FK295" s="138">
        <v>922</v>
      </c>
      <c r="FL295" s="147">
        <v>6531</v>
      </c>
      <c r="FM295" s="147">
        <v>6429.770992366412</v>
      </c>
      <c r="FO295" s="181">
        <f t="shared" si="12"/>
        <v>457.9746835443038</v>
      </c>
      <c r="FP295" s="179">
        <f t="shared" si="14"/>
        <v>118.21752285604124</v>
      </c>
      <c r="FR295" s="184"/>
      <c r="FV295" s="184">
        <v>493</v>
      </c>
      <c r="FW295" s="2">
        <f t="shared" si="13"/>
        <v>-493</v>
      </c>
    </row>
    <row r="296" spans="1:179" ht="12.75">
      <c r="A296" s="82">
        <v>927</v>
      </c>
      <c r="B296" s="80" t="s">
        <v>285</v>
      </c>
      <c r="C296" s="191">
        <v>28581</v>
      </c>
      <c r="D296" s="146"/>
      <c r="E296" s="150">
        <v>0.9857888879376766</v>
      </c>
      <c r="F296" s="150">
        <v>59.4</v>
      </c>
      <c r="G296" s="151">
        <v>-2631</v>
      </c>
      <c r="H296" s="152"/>
      <c r="I296" s="152"/>
      <c r="J296" s="152"/>
      <c r="K296" s="150">
        <v>44.6</v>
      </c>
      <c r="L296" s="151">
        <v>198</v>
      </c>
      <c r="M296" s="151">
        <v>13</v>
      </c>
      <c r="N296" s="154">
        <v>5580.385570833771</v>
      </c>
      <c r="O296" s="146">
        <v>43476</v>
      </c>
      <c r="P296" s="139">
        <v>17773</v>
      </c>
      <c r="Q296" s="139">
        <v>136318</v>
      </c>
      <c r="R296" s="139">
        <v>-118545</v>
      </c>
      <c r="S296" s="146">
        <v>105707</v>
      </c>
      <c r="T296" s="139">
        <v>23878</v>
      </c>
      <c r="U296" s="160"/>
      <c r="W296" s="138">
        <v>-1688</v>
      </c>
      <c r="X296" s="138">
        <v>378</v>
      </c>
      <c r="Y296" s="139">
        <v>9730</v>
      </c>
      <c r="Z296" s="138">
        <v>7748</v>
      </c>
      <c r="AC296" s="139">
        <v>1982</v>
      </c>
      <c r="AD296" s="139">
        <v>189</v>
      </c>
      <c r="AG296" s="139">
        <v>2171</v>
      </c>
      <c r="AH296" s="139">
        <v>16151</v>
      </c>
      <c r="AI296" s="139">
        <v>8375</v>
      </c>
      <c r="AJ296" s="176"/>
      <c r="AK296" s="139">
        <v>952</v>
      </c>
      <c r="AL296" s="151">
        <v>-9896</v>
      </c>
      <c r="AM296" s="151">
        <v>-1314</v>
      </c>
      <c r="AN296" s="146">
        <v>105707</v>
      </c>
      <c r="AO296" s="139">
        <v>94095</v>
      </c>
      <c r="AP296" s="139">
        <v>4778</v>
      </c>
      <c r="AQ296" s="139">
        <v>6834</v>
      </c>
      <c r="AR296" s="114">
        <v>19.5</v>
      </c>
      <c r="AS296" s="152"/>
      <c r="AT296" s="138">
        <v>104</v>
      </c>
      <c r="AU296" s="191">
        <v>28674</v>
      </c>
      <c r="AV296" s="146"/>
      <c r="AW296" s="150">
        <v>0.4911403136922425</v>
      </c>
      <c r="AX296" s="150">
        <v>60.5</v>
      </c>
      <c r="AY296" s="151">
        <v>-2795</v>
      </c>
      <c r="AZ296" s="152"/>
      <c r="BA296" s="152"/>
      <c r="BB296" s="152"/>
      <c r="BC296" s="150">
        <v>42.5</v>
      </c>
      <c r="BD296" s="151">
        <v>191</v>
      </c>
      <c r="BE296" s="151">
        <v>12</v>
      </c>
      <c r="BF296" s="154">
        <v>5726.058450163911</v>
      </c>
      <c r="BG296" s="146">
        <v>46891</v>
      </c>
      <c r="BH296" s="139">
        <v>18607</v>
      </c>
      <c r="BI296" s="139">
        <v>143978</v>
      </c>
      <c r="BJ296" s="139">
        <v>-125371</v>
      </c>
      <c r="BK296" s="146">
        <v>106355</v>
      </c>
      <c r="BL296" s="146">
        <v>24303</v>
      </c>
      <c r="BM296" s="160"/>
      <c r="BO296" s="138">
        <v>-1633</v>
      </c>
      <c r="BP296" s="138">
        <v>464</v>
      </c>
      <c r="BQ296" s="139">
        <v>4118</v>
      </c>
      <c r="BR296" s="138">
        <v>7928</v>
      </c>
      <c r="BU296" s="139">
        <v>-3810</v>
      </c>
      <c r="BV296" s="139">
        <v>189</v>
      </c>
      <c r="BY296" s="138">
        <v>-3621</v>
      </c>
      <c r="BZ296" s="139">
        <v>12530</v>
      </c>
      <c r="CA296" s="139">
        <v>2345</v>
      </c>
      <c r="CB296" s="176"/>
      <c r="CC296" s="139">
        <v>2006</v>
      </c>
      <c r="CD296" s="151">
        <v>-10120</v>
      </c>
      <c r="CE296" s="151">
        <v>-3670</v>
      </c>
      <c r="CF296" s="138">
        <v>106355</v>
      </c>
      <c r="CG296" s="139">
        <v>96844</v>
      </c>
      <c r="CH296" s="139">
        <v>2981</v>
      </c>
      <c r="CI296" s="139">
        <v>6530</v>
      </c>
      <c r="CJ296" s="114">
        <v>19.5</v>
      </c>
      <c r="CK296" s="152"/>
      <c r="CL296" s="138">
        <v>156</v>
      </c>
      <c r="CM296" s="190">
        <v>28929</v>
      </c>
      <c r="CN296" s="146"/>
      <c r="CO296" s="150">
        <v>0.58125</v>
      </c>
      <c r="CP296" s="150">
        <v>62.109152568109636</v>
      </c>
      <c r="CQ296" s="151">
        <v>-2931.6602716996786</v>
      </c>
      <c r="CR296" s="152"/>
      <c r="CS296" s="152"/>
      <c r="CT296" s="152"/>
      <c r="CU296" s="150">
        <v>39.752078701306615</v>
      </c>
      <c r="CV296" s="151">
        <v>271.8379480797815</v>
      </c>
      <c r="CW296" s="151">
        <v>16.437562277376276</v>
      </c>
      <c r="CX296" s="154">
        <v>6036.226623803104</v>
      </c>
      <c r="CY296" s="146">
        <v>48755</v>
      </c>
      <c r="CZ296" s="139">
        <v>19627</v>
      </c>
      <c r="DA296" s="139">
        <v>152077</v>
      </c>
      <c r="DB296" s="139">
        <v>-132450</v>
      </c>
      <c r="DC296" s="146">
        <v>114135</v>
      </c>
      <c r="DD296" s="146">
        <v>24533</v>
      </c>
      <c r="DE296" s="160"/>
      <c r="DG296" s="138">
        <v>-1317</v>
      </c>
      <c r="DH296" s="138">
        <v>450</v>
      </c>
      <c r="DI296" s="139">
        <v>5351</v>
      </c>
      <c r="DJ296" s="138">
        <v>8122</v>
      </c>
      <c r="DK296" s="138">
        <v>416</v>
      </c>
      <c r="DM296" s="139">
        <v>-2355</v>
      </c>
      <c r="DN296" s="139">
        <v>190</v>
      </c>
      <c r="DQ296" s="138">
        <v>-2165</v>
      </c>
      <c r="DR296" s="139">
        <v>10616</v>
      </c>
      <c r="DS296" s="139">
        <v>3589</v>
      </c>
      <c r="DT296" s="176"/>
      <c r="DU296" s="139">
        <v>-912</v>
      </c>
      <c r="DV296" s="151">
        <v>-10175</v>
      </c>
      <c r="DW296" s="138">
        <v>-4323</v>
      </c>
      <c r="DX296" s="138">
        <v>114135</v>
      </c>
      <c r="DY296" s="146">
        <v>104378</v>
      </c>
      <c r="DZ296" s="196">
        <v>2962</v>
      </c>
      <c r="EA296" s="146">
        <v>6795</v>
      </c>
      <c r="EB296" s="114">
        <v>19.5</v>
      </c>
      <c r="EC296" s="152"/>
      <c r="ED296" s="138">
        <v>209</v>
      </c>
      <c r="EE296" s="138">
        <v>80069</v>
      </c>
      <c r="EF296" s="138">
        <v>83407</v>
      </c>
      <c r="EG296" s="138">
        <v>89636</v>
      </c>
      <c r="EH296" s="138"/>
      <c r="EI296" s="138"/>
      <c r="EJ296" s="138"/>
      <c r="EK296" s="3">
        <v>-11610</v>
      </c>
      <c r="EL296" s="138">
        <v>265</v>
      </c>
      <c r="EM296" s="138">
        <v>1656</v>
      </c>
      <c r="EN296" s="3">
        <v>-8556</v>
      </c>
      <c r="EO296" s="138">
        <v>30</v>
      </c>
      <c r="EP296" s="138">
        <v>2511</v>
      </c>
      <c r="EQ296" s="3">
        <v>-11171</v>
      </c>
      <c r="ER296" s="138">
        <v>110</v>
      </c>
      <c r="ES296" s="138">
        <v>3149</v>
      </c>
      <c r="ET296" s="163">
        <v>4000</v>
      </c>
      <c r="EU296" s="163"/>
      <c r="EV296" s="138">
        <v>12000</v>
      </c>
      <c r="EW296" s="138">
        <v>1000</v>
      </c>
      <c r="EX296" s="138"/>
      <c r="EY296" s="138">
        <v>15000</v>
      </c>
      <c r="EZ296" s="138">
        <v>69267</v>
      </c>
      <c r="FA296" s="138">
        <v>59147</v>
      </c>
      <c r="FB296" s="138">
        <v>10120</v>
      </c>
      <c r="FC296" s="138">
        <v>39</v>
      </c>
      <c r="FD296" s="138">
        <v>72148</v>
      </c>
      <c r="FE296" s="138">
        <v>60973</v>
      </c>
      <c r="FF296" s="138">
        <v>11175</v>
      </c>
      <c r="FG296" s="138">
        <v>5</v>
      </c>
      <c r="FH296" s="138">
        <v>76973</v>
      </c>
      <c r="FI296" s="138">
        <v>50798</v>
      </c>
      <c r="FJ296" s="138">
        <v>26175</v>
      </c>
      <c r="FK296" s="138">
        <v>4</v>
      </c>
      <c r="FL296" s="147">
        <v>2688</v>
      </c>
      <c r="FM296" s="147">
        <v>2783.4274952919022</v>
      </c>
      <c r="FO296" s="181">
        <f t="shared" si="12"/>
        <v>5352.717948717948</v>
      </c>
      <c r="FP296" s="179">
        <f t="shared" si="14"/>
        <v>185.02948421023706</v>
      </c>
      <c r="FR296" s="184"/>
      <c r="FV296" s="184">
        <v>9896</v>
      </c>
      <c r="FW296" s="2">
        <f t="shared" si="13"/>
        <v>-9896</v>
      </c>
    </row>
    <row r="297" spans="1:179" ht="12.75">
      <c r="A297" s="82">
        <v>931</v>
      </c>
      <c r="B297" s="80" t="s">
        <v>286</v>
      </c>
      <c r="C297" s="191">
        <v>7065</v>
      </c>
      <c r="D297" s="146"/>
      <c r="E297" s="150">
        <v>0.5254332029066517</v>
      </c>
      <c r="F297" s="150">
        <v>60.7</v>
      </c>
      <c r="G297" s="151">
        <v>-3475</v>
      </c>
      <c r="H297" s="152"/>
      <c r="I297" s="152"/>
      <c r="J297" s="152"/>
      <c r="K297" s="150">
        <v>52</v>
      </c>
      <c r="L297" s="151">
        <v>66</v>
      </c>
      <c r="M297" s="151">
        <v>3</v>
      </c>
      <c r="N297" s="154">
        <v>8203.538570417551</v>
      </c>
      <c r="O297" s="146">
        <v>21825</v>
      </c>
      <c r="P297" s="139">
        <v>8379</v>
      </c>
      <c r="Q297" s="139">
        <v>47377</v>
      </c>
      <c r="R297" s="139">
        <v>-38998</v>
      </c>
      <c r="S297" s="146">
        <v>19222</v>
      </c>
      <c r="T297" s="139">
        <v>20676</v>
      </c>
      <c r="U297" s="160"/>
      <c r="W297" s="138">
        <v>-300</v>
      </c>
      <c r="X297" s="138">
        <v>-42</v>
      </c>
      <c r="Y297" s="139">
        <v>558</v>
      </c>
      <c r="Z297" s="138">
        <v>2020</v>
      </c>
      <c r="AC297" s="139">
        <v>-1462</v>
      </c>
      <c r="AG297" s="139">
        <v>-1462</v>
      </c>
      <c r="AH297" s="139">
        <v>1696</v>
      </c>
      <c r="AI297" s="139">
        <v>565</v>
      </c>
      <c r="AJ297" s="176"/>
      <c r="AK297" s="138">
        <v>1212</v>
      </c>
      <c r="AL297" s="151">
        <v>-1407</v>
      </c>
      <c r="AM297" s="151">
        <v>-7872</v>
      </c>
      <c r="AN297" s="146">
        <v>19222</v>
      </c>
      <c r="AO297" s="139">
        <v>15688</v>
      </c>
      <c r="AP297" s="139">
        <v>2232</v>
      </c>
      <c r="AQ297" s="139">
        <v>1302</v>
      </c>
      <c r="AR297" s="114">
        <v>19.5</v>
      </c>
      <c r="AS297" s="152"/>
      <c r="AT297" s="138">
        <v>254</v>
      </c>
      <c r="AU297" s="191">
        <v>6957</v>
      </c>
      <c r="AV297" s="146"/>
      <c r="AW297" s="150">
        <v>0.5752753977968176</v>
      </c>
      <c r="AX297" s="150">
        <v>50.5</v>
      </c>
      <c r="AY297" s="151">
        <v>-3885</v>
      </c>
      <c r="AZ297" s="152"/>
      <c r="BA297" s="152"/>
      <c r="BB297" s="152"/>
      <c r="BC297" s="150">
        <v>47.6</v>
      </c>
      <c r="BD297" s="151">
        <v>432</v>
      </c>
      <c r="BE297" s="151">
        <v>13</v>
      </c>
      <c r="BF297" s="154">
        <v>11755.641799626275</v>
      </c>
      <c r="BG297" s="146">
        <v>25258</v>
      </c>
      <c r="BH297" s="139">
        <v>30803</v>
      </c>
      <c r="BI297" s="139">
        <v>70192</v>
      </c>
      <c r="BJ297" s="139">
        <v>-39389</v>
      </c>
      <c r="BK297" s="146">
        <v>18978</v>
      </c>
      <c r="BL297" s="146">
        <v>21694</v>
      </c>
      <c r="BM297" s="160"/>
      <c r="BO297" s="138">
        <v>-389</v>
      </c>
      <c r="BP297" s="138">
        <v>-85</v>
      </c>
      <c r="BQ297" s="139">
        <v>809</v>
      </c>
      <c r="BR297" s="138">
        <v>2239</v>
      </c>
      <c r="BS297" s="138">
        <v>2490</v>
      </c>
      <c r="BU297" s="139">
        <v>1060</v>
      </c>
      <c r="BY297" s="138">
        <v>1060</v>
      </c>
      <c r="BZ297" s="139">
        <v>2799</v>
      </c>
      <c r="CA297" s="139">
        <v>738</v>
      </c>
      <c r="CB297" s="176"/>
      <c r="CC297" s="138">
        <v>-1765</v>
      </c>
      <c r="CD297" s="151">
        <v>-1850</v>
      </c>
      <c r="CE297" s="151">
        <v>-2629</v>
      </c>
      <c r="CF297" s="138">
        <v>18978</v>
      </c>
      <c r="CG297" s="139">
        <v>15871</v>
      </c>
      <c r="CH297" s="139">
        <v>1545</v>
      </c>
      <c r="CI297" s="139">
        <v>1562</v>
      </c>
      <c r="CJ297" s="114">
        <v>20</v>
      </c>
      <c r="CK297" s="152"/>
      <c r="CL297" s="138">
        <v>177</v>
      </c>
      <c r="CM297" s="190">
        <v>6895</v>
      </c>
      <c r="CN297" s="146"/>
      <c r="CO297" s="150">
        <v>0.793194874060981</v>
      </c>
      <c r="CP297" s="150">
        <v>45.41965538233504</v>
      </c>
      <c r="CQ297" s="151">
        <v>-4200.580130529369</v>
      </c>
      <c r="CR297" s="152"/>
      <c r="CS297" s="152"/>
      <c r="CT297" s="152"/>
      <c r="CU297" s="150">
        <v>48.10902844744455</v>
      </c>
      <c r="CV297" s="151">
        <v>143.8723712835388</v>
      </c>
      <c r="CW297" s="151">
        <v>4.546630335145724</v>
      </c>
      <c r="CX297" s="154">
        <v>11549.963741841913</v>
      </c>
      <c r="CY297" s="146">
        <v>27547</v>
      </c>
      <c r="CZ297" s="139">
        <v>32186</v>
      </c>
      <c r="DA297" s="139">
        <v>73781</v>
      </c>
      <c r="DB297" s="139">
        <v>-41595</v>
      </c>
      <c r="DC297" s="146">
        <v>20888</v>
      </c>
      <c r="DD297" s="146">
        <v>22488</v>
      </c>
      <c r="DE297" s="160"/>
      <c r="DG297" s="138">
        <v>-143</v>
      </c>
      <c r="DH297" s="138">
        <v>-76</v>
      </c>
      <c r="DI297" s="139">
        <v>1562</v>
      </c>
      <c r="DJ297" s="138">
        <v>2346</v>
      </c>
      <c r="DM297" s="139">
        <v>-784</v>
      </c>
      <c r="DP297" s="138">
        <v>800</v>
      </c>
      <c r="DQ297" s="138">
        <v>16</v>
      </c>
      <c r="DR297" s="139">
        <v>2600</v>
      </c>
      <c r="DS297" s="139">
        <v>1300</v>
      </c>
      <c r="DT297" s="176"/>
      <c r="DU297" s="138">
        <v>1711</v>
      </c>
      <c r="DV297" s="151">
        <v>-2030</v>
      </c>
      <c r="DW297" s="138">
        <v>-1496</v>
      </c>
      <c r="DX297" s="138">
        <v>20888</v>
      </c>
      <c r="DY297" s="146">
        <v>17175</v>
      </c>
      <c r="DZ297" s="196">
        <v>1835</v>
      </c>
      <c r="EA297" s="146">
        <v>1878</v>
      </c>
      <c r="EB297" s="114">
        <v>21</v>
      </c>
      <c r="EC297" s="152"/>
      <c r="ED297" s="138">
        <v>183</v>
      </c>
      <c r="EE297" s="138">
        <v>19128</v>
      </c>
      <c r="EF297" s="138">
        <v>36866</v>
      </c>
      <c r="EG297" s="138">
        <v>37872</v>
      </c>
      <c r="EH297" s="138"/>
      <c r="EI297" s="138"/>
      <c r="EJ297" s="138"/>
      <c r="EK297" s="3">
        <v>-8703</v>
      </c>
      <c r="EL297" s="138">
        <v>167</v>
      </c>
      <c r="EM297" s="138">
        <v>99</v>
      </c>
      <c r="EN297" s="3">
        <v>-9047</v>
      </c>
      <c r="EO297" s="138">
        <v>1527</v>
      </c>
      <c r="EP297" s="138">
        <v>4153</v>
      </c>
      <c r="EQ297" s="3">
        <v>-3262</v>
      </c>
      <c r="ER297" s="138">
        <v>108</v>
      </c>
      <c r="ES297" s="138">
        <v>358</v>
      </c>
      <c r="ET297" s="163">
        <v>7000</v>
      </c>
      <c r="EU297" s="163">
        <v>-1000</v>
      </c>
      <c r="EV297" s="138">
        <v>7000</v>
      </c>
      <c r="EW297" s="138">
        <v>1000</v>
      </c>
      <c r="EX297" s="138"/>
      <c r="EY297" s="138"/>
      <c r="EZ297" s="138">
        <v>21776</v>
      </c>
      <c r="FA297" s="138">
        <v>16101</v>
      </c>
      <c r="FB297" s="138">
        <v>5675</v>
      </c>
      <c r="FC297" s="138">
        <v>1213</v>
      </c>
      <c r="FD297" s="138">
        <v>27926</v>
      </c>
      <c r="FE297" s="138">
        <v>20896</v>
      </c>
      <c r="FF297" s="138">
        <v>7030</v>
      </c>
      <c r="FG297" s="138">
        <v>1211</v>
      </c>
      <c r="FH297" s="138">
        <v>25896</v>
      </c>
      <c r="FI297" s="138">
        <v>18957</v>
      </c>
      <c r="FJ297" s="138">
        <v>6939</v>
      </c>
      <c r="FK297" s="138">
        <v>1439</v>
      </c>
      <c r="FL297" s="147">
        <v>5339</v>
      </c>
      <c r="FM297" s="147">
        <v>6805.375880408222</v>
      </c>
      <c r="FO297" s="181">
        <f t="shared" si="12"/>
        <v>817.8571428571429</v>
      </c>
      <c r="FP297" s="179">
        <f t="shared" si="14"/>
        <v>118.61597430850513</v>
      </c>
      <c r="FR297" s="184"/>
      <c r="FV297" s="184">
        <v>1407</v>
      </c>
      <c r="FW297" s="2">
        <f t="shared" si="13"/>
        <v>-1407</v>
      </c>
    </row>
    <row r="298" spans="1:179" ht="12.75">
      <c r="A298" s="82">
        <v>934</v>
      </c>
      <c r="B298" s="80" t="s">
        <v>287</v>
      </c>
      <c r="C298" s="191">
        <v>3222</v>
      </c>
      <c r="D298" s="146"/>
      <c r="E298" s="150">
        <v>-0.5342995169082125</v>
      </c>
      <c r="F298" s="150">
        <v>45.7</v>
      </c>
      <c r="G298" s="151">
        <v>-2029</v>
      </c>
      <c r="H298" s="152"/>
      <c r="I298" s="152"/>
      <c r="J298" s="152"/>
      <c r="K298" s="150">
        <v>53.7</v>
      </c>
      <c r="L298" s="151">
        <v>398</v>
      </c>
      <c r="M298" s="151">
        <v>23</v>
      </c>
      <c r="N298" s="154">
        <v>6445.685909373061</v>
      </c>
      <c r="O298" s="146">
        <v>823</v>
      </c>
      <c r="P298" s="139">
        <v>1873</v>
      </c>
      <c r="Q298" s="139">
        <v>18862</v>
      </c>
      <c r="R298" s="139">
        <v>-16989</v>
      </c>
      <c r="S298" s="146">
        <v>9609</v>
      </c>
      <c r="T298" s="139">
        <v>6768</v>
      </c>
      <c r="U298" s="160"/>
      <c r="W298" s="138">
        <v>-127</v>
      </c>
      <c r="X298" s="138">
        <v>53</v>
      </c>
      <c r="Y298" s="139">
        <v>-686</v>
      </c>
      <c r="Z298" s="138">
        <v>650</v>
      </c>
      <c r="AB298" s="139"/>
      <c r="AC298" s="139">
        <v>-1336</v>
      </c>
      <c r="AD298" s="139"/>
      <c r="AG298" s="139">
        <v>-1336</v>
      </c>
      <c r="AH298" s="139">
        <v>-1187</v>
      </c>
      <c r="AI298" s="139">
        <v>-725</v>
      </c>
      <c r="AJ298" s="176"/>
      <c r="AK298" s="138">
        <v>-19</v>
      </c>
      <c r="AL298" s="151">
        <v>-902</v>
      </c>
      <c r="AM298" s="151">
        <v>-1502</v>
      </c>
      <c r="AN298" s="146">
        <v>9609</v>
      </c>
      <c r="AO298" s="139">
        <v>7838</v>
      </c>
      <c r="AP298" s="139">
        <v>1361</v>
      </c>
      <c r="AQ298" s="139">
        <v>410</v>
      </c>
      <c r="AR298" s="114">
        <v>19.75</v>
      </c>
      <c r="AS298" s="152"/>
      <c r="AT298" s="138">
        <v>315</v>
      </c>
      <c r="AU298" s="191">
        <v>3205</v>
      </c>
      <c r="AV298" s="146"/>
      <c r="AW298" s="150">
        <v>-0.9637362637362638</v>
      </c>
      <c r="AX298" s="150">
        <v>56.4</v>
      </c>
      <c r="AY298" s="151">
        <v>-2690</v>
      </c>
      <c r="AZ298" s="152"/>
      <c r="BA298" s="152"/>
      <c r="BB298" s="152"/>
      <c r="BC298" s="150">
        <v>43.7</v>
      </c>
      <c r="BD298" s="151">
        <v>217</v>
      </c>
      <c r="BE298" s="151">
        <v>12</v>
      </c>
      <c r="BF298" s="154">
        <v>6640.561622464898</v>
      </c>
      <c r="BG298" s="146">
        <v>882</v>
      </c>
      <c r="BH298" s="139">
        <v>2049</v>
      </c>
      <c r="BI298" s="139">
        <v>19327</v>
      </c>
      <c r="BJ298" s="139">
        <v>-17278</v>
      </c>
      <c r="BK298" s="146">
        <v>9220</v>
      </c>
      <c r="BL298" s="146">
        <v>7105</v>
      </c>
      <c r="BM298" s="160"/>
      <c r="BO298" s="138">
        <v>-123</v>
      </c>
      <c r="BP298" s="138">
        <v>69</v>
      </c>
      <c r="BQ298" s="139">
        <v>-1007</v>
      </c>
      <c r="BR298" s="138">
        <v>648</v>
      </c>
      <c r="BT298" s="139"/>
      <c r="BU298" s="139">
        <v>-1655</v>
      </c>
      <c r="BV298" s="139"/>
      <c r="BY298" s="138">
        <v>-1655</v>
      </c>
      <c r="BZ298" s="139">
        <v>-2843</v>
      </c>
      <c r="CA298" s="139">
        <v>-1097</v>
      </c>
      <c r="CB298" s="176"/>
      <c r="CC298" s="138">
        <v>-535</v>
      </c>
      <c r="CD298" s="151">
        <v>-780</v>
      </c>
      <c r="CE298" s="151">
        <v>-1861</v>
      </c>
      <c r="CF298" s="138">
        <v>9220</v>
      </c>
      <c r="CG298" s="139">
        <v>8250</v>
      </c>
      <c r="CH298" s="139">
        <v>451</v>
      </c>
      <c r="CI298" s="139">
        <v>519</v>
      </c>
      <c r="CJ298" s="114">
        <v>20.5</v>
      </c>
      <c r="CK298" s="152"/>
      <c r="CL298" s="138">
        <v>315</v>
      </c>
      <c r="CM298" s="190">
        <v>3171</v>
      </c>
      <c r="CN298" s="146"/>
      <c r="CO298" s="150">
        <v>0.27921279212792127</v>
      </c>
      <c r="CP298" s="150">
        <v>57.880338416333146</v>
      </c>
      <c r="CQ298" s="151">
        <v>-3015.452538631346</v>
      </c>
      <c r="CR298" s="152"/>
      <c r="CS298" s="152"/>
      <c r="CT298" s="152"/>
      <c r="CU298" s="150">
        <v>39.774928029311695</v>
      </c>
      <c r="CV298" s="151">
        <v>398.9277830337433</v>
      </c>
      <c r="CW298" s="151">
        <v>21.406880244795772</v>
      </c>
      <c r="CX298" s="154">
        <v>6801.955219173762</v>
      </c>
      <c r="CY298" s="146">
        <v>819</v>
      </c>
      <c r="CZ298" s="139">
        <v>1741</v>
      </c>
      <c r="DA298" s="139">
        <v>19555</v>
      </c>
      <c r="DB298" s="139">
        <v>-17814</v>
      </c>
      <c r="DC298" s="146">
        <v>10050</v>
      </c>
      <c r="DD298" s="146">
        <v>7948</v>
      </c>
      <c r="DE298" s="160"/>
      <c r="DG298" s="138">
        <v>-88</v>
      </c>
      <c r="DH298" s="138">
        <v>40</v>
      </c>
      <c r="DI298" s="139">
        <v>136</v>
      </c>
      <c r="DJ298" s="138">
        <v>664</v>
      </c>
      <c r="DL298" s="139"/>
      <c r="DM298" s="139">
        <v>-528</v>
      </c>
      <c r="DN298" s="139"/>
      <c r="DQ298" s="138">
        <v>-528</v>
      </c>
      <c r="DR298" s="139">
        <v>-3371</v>
      </c>
      <c r="DS298" s="139">
        <v>117</v>
      </c>
      <c r="DT298" s="176"/>
      <c r="DU298" s="138">
        <v>455</v>
      </c>
      <c r="DV298" s="151">
        <v>-721</v>
      </c>
      <c r="DW298" s="138">
        <v>-952</v>
      </c>
      <c r="DX298" s="138">
        <v>10050</v>
      </c>
      <c r="DY298" s="146">
        <v>9043</v>
      </c>
      <c r="DZ298" s="196">
        <v>423</v>
      </c>
      <c r="EA298" s="146">
        <v>584</v>
      </c>
      <c r="EB298" s="114">
        <v>21</v>
      </c>
      <c r="EC298" s="152"/>
      <c r="ED298" s="138">
        <v>263</v>
      </c>
      <c r="EE298" s="138">
        <v>17525</v>
      </c>
      <c r="EF298" s="138">
        <v>17977</v>
      </c>
      <c r="EG298" s="138">
        <v>18265</v>
      </c>
      <c r="EH298" s="138"/>
      <c r="EI298" s="138">
        <v>420</v>
      </c>
      <c r="EJ298" s="138">
        <v>415</v>
      </c>
      <c r="EK298" s="3">
        <v>-863</v>
      </c>
      <c r="EL298" s="138">
        <v>22</v>
      </c>
      <c r="EM298" s="138">
        <v>64</v>
      </c>
      <c r="EN298" s="3">
        <v>-1027</v>
      </c>
      <c r="EO298" s="138">
        <v>24</v>
      </c>
      <c r="EP298" s="138">
        <v>239</v>
      </c>
      <c r="EQ298" s="3">
        <v>-1194</v>
      </c>
      <c r="ER298" s="138">
        <v>75</v>
      </c>
      <c r="ES298" s="138">
        <v>50</v>
      </c>
      <c r="ET298" s="163"/>
      <c r="EU298" s="163">
        <v>1700</v>
      </c>
      <c r="EV298" s="138">
        <v>2000</v>
      </c>
      <c r="EW298" s="138">
        <v>700</v>
      </c>
      <c r="EX298" s="138"/>
      <c r="EY298" s="138">
        <v>2500</v>
      </c>
      <c r="EZ298" s="138">
        <v>6161</v>
      </c>
      <c r="FA298" s="138">
        <v>2579</v>
      </c>
      <c r="FB298" s="138">
        <v>3582</v>
      </c>
      <c r="FC298" s="138">
        <v>750</v>
      </c>
      <c r="FD298" s="138">
        <v>8080</v>
      </c>
      <c r="FE298" s="138">
        <v>3785</v>
      </c>
      <c r="FF298" s="138">
        <v>4295</v>
      </c>
      <c r="FG298" s="138">
        <v>654</v>
      </c>
      <c r="FH298" s="138">
        <v>9860</v>
      </c>
      <c r="FI298" s="138">
        <v>3137</v>
      </c>
      <c r="FJ298" s="138">
        <v>6723</v>
      </c>
      <c r="FK298" s="138">
        <v>654</v>
      </c>
      <c r="FL298" s="147">
        <v>3671</v>
      </c>
      <c r="FM298" s="147">
        <v>4313.572542901717</v>
      </c>
      <c r="FO298" s="181">
        <f t="shared" si="12"/>
        <v>430.6190476190476</v>
      </c>
      <c r="FP298" s="179">
        <f t="shared" si="14"/>
        <v>135.79913201483686</v>
      </c>
      <c r="FR298" s="184"/>
      <c r="FV298" s="184">
        <v>902</v>
      </c>
      <c r="FW298" s="2">
        <f t="shared" si="13"/>
        <v>-902</v>
      </c>
    </row>
    <row r="299" spans="1:179" ht="12.75">
      <c r="A299" s="82">
        <v>935</v>
      </c>
      <c r="B299" s="80" t="s">
        <v>288</v>
      </c>
      <c r="C299" s="191">
        <v>3485</v>
      </c>
      <c r="D299" s="146"/>
      <c r="E299" s="150">
        <v>6.193220338983051</v>
      </c>
      <c r="F299" s="150">
        <v>55.3</v>
      </c>
      <c r="G299" s="151">
        <v>-3122</v>
      </c>
      <c r="H299" s="152"/>
      <c r="I299" s="152"/>
      <c r="J299" s="152"/>
      <c r="K299" s="150">
        <v>42.3</v>
      </c>
      <c r="L299" s="151">
        <v>957</v>
      </c>
      <c r="M299" s="151">
        <v>45</v>
      </c>
      <c r="N299" s="154">
        <v>7721.377331420374</v>
      </c>
      <c r="O299" s="146">
        <v>7026</v>
      </c>
      <c r="P299" s="139">
        <v>6518</v>
      </c>
      <c r="Q299" s="139">
        <v>24181</v>
      </c>
      <c r="R299" s="139">
        <v>-17663</v>
      </c>
      <c r="S299" s="146">
        <v>9959</v>
      </c>
      <c r="T299" s="139">
        <v>10958</v>
      </c>
      <c r="U299" s="160"/>
      <c r="W299" s="138">
        <v>-33</v>
      </c>
      <c r="X299" s="138">
        <v>218</v>
      </c>
      <c r="Y299" s="139">
        <v>3439</v>
      </c>
      <c r="Z299" s="138">
        <v>745</v>
      </c>
      <c r="AC299" s="139">
        <v>2694</v>
      </c>
      <c r="AD299" s="139"/>
      <c r="AG299" s="139">
        <v>2694</v>
      </c>
      <c r="AH299" s="139">
        <v>4562</v>
      </c>
      <c r="AI299" s="139">
        <v>3220</v>
      </c>
      <c r="AJ299" s="176"/>
      <c r="AK299" s="139">
        <v>48</v>
      </c>
      <c r="AL299" s="151">
        <v>-375</v>
      </c>
      <c r="AM299" s="151">
        <v>1914</v>
      </c>
      <c r="AN299" s="146">
        <v>9959</v>
      </c>
      <c r="AO299" s="139">
        <v>8265</v>
      </c>
      <c r="AP299" s="139">
        <v>956</v>
      </c>
      <c r="AQ299" s="139">
        <v>738</v>
      </c>
      <c r="AR299" s="114">
        <v>20</v>
      </c>
      <c r="AS299" s="152"/>
      <c r="AT299" s="138">
        <v>4</v>
      </c>
      <c r="AU299" s="191">
        <v>3487</v>
      </c>
      <c r="AV299" s="146"/>
      <c r="AW299" s="150">
        <v>0.22385479688850476</v>
      </c>
      <c r="AX299" s="150">
        <v>58.1</v>
      </c>
      <c r="AY299" s="151">
        <v>-2697</v>
      </c>
      <c r="AZ299" s="152"/>
      <c r="BA299" s="152"/>
      <c r="BB299" s="152"/>
      <c r="BC299" s="150">
        <v>41.9</v>
      </c>
      <c r="BD299" s="151">
        <v>1155</v>
      </c>
      <c r="BE299" s="151">
        <v>53</v>
      </c>
      <c r="BF299" s="154">
        <v>7906.796673358188</v>
      </c>
      <c r="BG299" s="146">
        <v>7327</v>
      </c>
      <c r="BH299" s="139">
        <v>6522</v>
      </c>
      <c r="BI299" s="139">
        <v>24887</v>
      </c>
      <c r="BJ299" s="139">
        <v>-18365</v>
      </c>
      <c r="BK299" s="146">
        <v>9869</v>
      </c>
      <c r="BL299" s="146">
        <v>8427</v>
      </c>
      <c r="BM299" s="160"/>
      <c r="BO299" s="138">
        <v>-66</v>
      </c>
      <c r="BP299" s="138">
        <v>224</v>
      </c>
      <c r="BQ299" s="139">
        <v>89</v>
      </c>
      <c r="BR299" s="138">
        <v>818</v>
      </c>
      <c r="BU299" s="139">
        <v>-729</v>
      </c>
      <c r="BV299" s="139"/>
      <c r="BY299" s="138">
        <v>-729</v>
      </c>
      <c r="BZ299" s="139">
        <v>3832</v>
      </c>
      <c r="CA299" s="139">
        <v>74</v>
      </c>
      <c r="CB299" s="176"/>
      <c r="CC299" s="139">
        <v>-24</v>
      </c>
      <c r="CD299" s="151">
        <v>-987</v>
      </c>
      <c r="CE299" s="151">
        <v>-966</v>
      </c>
      <c r="CF299" s="138">
        <v>9869</v>
      </c>
      <c r="CG299" s="139">
        <v>8366</v>
      </c>
      <c r="CH299" s="139">
        <v>636</v>
      </c>
      <c r="CI299" s="139">
        <v>867</v>
      </c>
      <c r="CJ299" s="114">
        <v>20</v>
      </c>
      <c r="CK299" s="152"/>
      <c r="CL299" s="138">
        <v>229</v>
      </c>
      <c r="CM299" s="190">
        <v>3435</v>
      </c>
      <c r="CN299" s="146"/>
      <c r="CO299" s="150">
        <v>0.9293937068303914</v>
      </c>
      <c r="CP299" s="150">
        <v>56.80389451088623</v>
      </c>
      <c r="CQ299" s="151">
        <v>-3724.0174672489084</v>
      </c>
      <c r="CR299" s="152"/>
      <c r="CS299" s="152"/>
      <c r="CT299" s="152"/>
      <c r="CU299" s="150">
        <v>41.52552363736393</v>
      </c>
      <c r="CV299" s="151">
        <v>314.410480349345</v>
      </c>
      <c r="CW299" s="151">
        <v>12.424748636807767</v>
      </c>
      <c r="CX299" s="154">
        <v>9236.390101892284</v>
      </c>
      <c r="CY299" s="146">
        <v>7428</v>
      </c>
      <c r="CZ299" s="139">
        <v>7020</v>
      </c>
      <c r="DA299" s="139">
        <v>25209</v>
      </c>
      <c r="DB299" s="139">
        <v>-18189</v>
      </c>
      <c r="DC299" s="146">
        <v>10518</v>
      </c>
      <c r="DD299" s="146">
        <v>8550</v>
      </c>
      <c r="DE299" s="160"/>
      <c r="DG299" s="138">
        <v>-165</v>
      </c>
      <c r="DH299" s="138">
        <v>320</v>
      </c>
      <c r="DI299" s="139">
        <v>1034</v>
      </c>
      <c r="DJ299" s="138">
        <v>925</v>
      </c>
      <c r="DM299" s="139">
        <v>109</v>
      </c>
      <c r="DN299" s="139"/>
      <c r="DQ299" s="138">
        <v>109</v>
      </c>
      <c r="DR299" s="139">
        <v>3942</v>
      </c>
      <c r="DS299" s="139">
        <v>887</v>
      </c>
      <c r="DT299" s="176"/>
      <c r="DU299" s="139">
        <v>36</v>
      </c>
      <c r="DV299" s="151">
        <v>-1125</v>
      </c>
      <c r="DW299" s="138">
        <v>-3146</v>
      </c>
      <c r="DX299" s="138">
        <v>10518</v>
      </c>
      <c r="DY299" s="146">
        <v>8831</v>
      </c>
      <c r="DZ299" s="196">
        <v>757</v>
      </c>
      <c r="EA299" s="146">
        <v>930</v>
      </c>
      <c r="EB299" s="114">
        <v>20</v>
      </c>
      <c r="EC299" s="152"/>
      <c r="ED299" s="138">
        <v>146</v>
      </c>
      <c r="EE299" s="138">
        <v>13840</v>
      </c>
      <c r="EF299" s="138">
        <v>14219</v>
      </c>
      <c r="EG299" s="138">
        <v>14366</v>
      </c>
      <c r="EH299" s="138"/>
      <c r="EI299" s="138"/>
      <c r="EJ299" s="138"/>
      <c r="EK299" s="3">
        <v>-2093</v>
      </c>
      <c r="EL299" s="138">
        <v>111</v>
      </c>
      <c r="EM299" s="138">
        <v>676</v>
      </c>
      <c r="EN299" s="3">
        <v>-1508</v>
      </c>
      <c r="EO299" s="138">
        <v>353</v>
      </c>
      <c r="EP299" s="138">
        <v>115</v>
      </c>
      <c r="EQ299" s="3">
        <v>-5122</v>
      </c>
      <c r="ER299" s="138">
        <v>876</v>
      </c>
      <c r="ES299" s="138">
        <v>213</v>
      </c>
      <c r="ET299" s="163"/>
      <c r="EU299" s="163">
        <v>-500</v>
      </c>
      <c r="EV299" s="138">
        <v>4000</v>
      </c>
      <c r="EW299" s="138">
        <v>-3500</v>
      </c>
      <c r="EX299" s="138"/>
      <c r="EY299" s="138">
        <v>1500</v>
      </c>
      <c r="EZ299" s="138">
        <v>12435</v>
      </c>
      <c r="FA299" s="138">
        <v>2561</v>
      </c>
      <c r="FB299" s="138">
        <v>9874</v>
      </c>
      <c r="FC299" s="138">
        <v>615</v>
      </c>
      <c r="FD299" s="138">
        <v>11948</v>
      </c>
      <c r="FE299" s="138">
        <v>4823</v>
      </c>
      <c r="FF299" s="138">
        <v>7125</v>
      </c>
      <c r="FG299" s="138">
        <v>613</v>
      </c>
      <c r="FH299" s="138">
        <v>12323</v>
      </c>
      <c r="FI299" s="138">
        <v>3697</v>
      </c>
      <c r="FJ299" s="138">
        <v>8626</v>
      </c>
      <c r="FK299" s="138">
        <v>611</v>
      </c>
      <c r="FL299" s="147">
        <v>6108</v>
      </c>
      <c r="FM299" s="147">
        <v>5897.619730427302</v>
      </c>
      <c r="FO299" s="181">
        <f t="shared" si="12"/>
        <v>441.55</v>
      </c>
      <c r="FP299" s="179">
        <f t="shared" si="14"/>
        <v>128.5443959243086</v>
      </c>
      <c r="FR299" s="184"/>
      <c r="FV299" s="184">
        <v>375</v>
      </c>
      <c r="FW299" s="2">
        <f t="shared" si="13"/>
        <v>-375</v>
      </c>
    </row>
    <row r="300" spans="1:179" ht="12.75">
      <c r="A300" s="82">
        <v>936</v>
      </c>
      <c r="B300" s="80" t="s">
        <v>289</v>
      </c>
      <c r="C300" s="191">
        <v>7453</v>
      </c>
      <c r="D300" s="146"/>
      <c r="E300" s="150">
        <v>3.3810408921933086</v>
      </c>
      <c r="F300" s="150">
        <v>27.3</v>
      </c>
      <c r="G300" s="151">
        <v>-481</v>
      </c>
      <c r="H300" s="152"/>
      <c r="I300" s="152"/>
      <c r="J300" s="152"/>
      <c r="K300" s="150">
        <v>73.4</v>
      </c>
      <c r="L300" s="151">
        <v>812</v>
      </c>
      <c r="M300" s="151">
        <v>41</v>
      </c>
      <c r="N300" s="154">
        <v>7241.647658660942</v>
      </c>
      <c r="O300" s="146">
        <v>23931</v>
      </c>
      <c r="P300" s="139">
        <v>10604</v>
      </c>
      <c r="Q300" s="139">
        <v>47823</v>
      </c>
      <c r="R300" s="139">
        <v>-37219</v>
      </c>
      <c r="S300" s="146">
        <v>19907</v>
      </c>
      <c r="T300" s="139">
        <v>18811</v>
      </c>
      <c r="U300" s="160"/>
      <c r="W300" s="138">
        <v>-83</v>
      </c>
      <c r="X300" s="138">
        <v>309</v>
      </c>
      <c r="Y300" s="139">
        <v>1725</v>
      </c>
      <c r="Z300" s="138">
        <v>2545</v>
      </c>
      <c r="AC300" s="139">
        <v>-820</v>
      </c>
      <c r="AD300" s="138">
        <v>136</v>
      </c>
      <c r="AG300" s="139">
        <v>-684</v>
      </c>
      <c r="AH300" s="139">
        <v>12931</v>
      </c>
      <c r="AI300" s="139">
        <v>1554</v>
      </c>
      <c r="AJ300" s="176"/>
      <c r="AK300" s="138">
        <v>67</v>
      </c>
      <c r="AL300" s="151">
        <v>-444</v>
      </c>
      <c r="AM300" s="151">
        <v>-3336</v>
      </c>
      <c r="AN300" s="146">
        <v>19907</v>
      </c>
      <c r="AO300" s="139">
        <v>16380</v>
      </c>
      <c r="AP300" s="139">
        <v>2136</v>
      </c>
      <c r="AQ300" s="139">
        <v>1391</v>
      </c>
      <c r="AR300" s="114">
        <v>19.75</v>
      </c>
      <c r="AS300" s="152"/>
      <c r="AT300" s="138">
        <v>177</v>
      </c>
      <c r="AU300" s="191">
        <v>7384</v>
      </c>
      <c r="AV300" s="146"/>
      <c r="AW300" s="150">
        <v>1.800453514739229</v>
      </c>
      <c r="AX300" s="150">
        <v>28.2</v>
      </c>
      <c r="AY300" s="151">
        <v>-757</v>
      </c>
      <c r="AZ300" s="152"/>
      <c r="BA300" s="152"/>
      <c r="BB300" s="152"/>
      <c r="BC300" s="150">
        <v>71</v>
      </c>
      <c r="BD300" s="151">
        <v>603</v>
      </c>
      <c r="BE300" s="151">
        <v>29</v>
      </c>
      <c r="BF300" s="154">
        <v>7519.501625135428</v>
      </c>
      <c r="BG300" s="146">
        <v>25028</v>
      </c>
      <c r="BH300" s="139">
        <v>11722</v>
      </c>
      <c r="BI300" s="139">
        <v>51052</v>
      </c>
      <c r="BJ300" s="139">
        <v>-39330</v>
      </c>
      <c r="BK300" s="146">
        <v>20268</v>
      </c>
      <c r="BL300" s="146">
        <v>20334</v>
      </c>
      <c r="BM300" s="160"/>
      <c r="BO300" s="138">
        <v>-130</v>
      </c>
      <c r="BP300" s="138">
        <v>305</v>
      </c>
      <c r="BQ300" s="139">
        <v>1447</v>
      </c>
      <c r="BR300" s="138">
        <v>2623</v>
      </c>
      <c r="BU300" s="139">
        <v>-1176</v>
      </c>
      <c r="BV300" s="138">
        <v>136</v>
      </c>
      <c r="BY300" s="138">
        <v>-1040</v>
      </c>
      <c r="BZ300" s="139">
        <v>11891</v>
      </c>
      <c r="CA300" s="139">
        <v>1305</v>
      </c>
      <c r="CB300" s="176"/>
      <c r="CC300" s="138">
        <v>-880</v>
      </c>
      <c r="CD300" s="151">
        <v>-741</v>
      </c>
      <c r="CE300" s="151">
        <v>-2003</v>
      </c>
      <c r="CF300" s="138">
        <v>20268</v>
      </c>
      <c r="CG300" s="139">
        <v>17212</v>
      </c>
      <c r="CH300" s="139">
        <v>1417</v>
      </c>
      <c r="CI300" s="139">
        <v>1639</v>
      </c>
      <c r="CJ300" s="114">
        <v>19.75</v>
      </c>
      <c r="CK300" s="152"/>
      <c r="CL300" s="138">
        <v>117</v>
      </c>
      <c r="CM300" s="190">
        <v>7280</v>
      </c>
      <c r="CN300" s="146"/>
      <c r="CO300" s="150">
        <v>2.76101860920666</v>
      </c>
      <c r="CP300" s="150">
        <v>20.82970397431064</v>
      </c>
      <c r="CQ300" s="151">
        <v>-789.6978021978022</v>
      </c>
      <c r="CR300" s="152"/>
      <c r="CS300" s="152"/>
      <c r="CT300" s="152"/>
      <c r="CU300" s="150">
        <v>69.61876185041326</v>
      </c>
      <c r="CV300" s="151">
        <v>659.8901098901099</v>
      </c>
      <c r="CW300" s="151">
        <v>21.688085195858946</v>
      </c>
      <c r="CX300" s="154">
        <v>11105.631868131868</v>
      </c>
      <c r="CY300" s="146">
        <v>34886</v>
      </c>
      <c r="CZ300" s="139">
        <v>34524</v>
      </c>
      <c r="DA300" s="139">
        <v>74417</v>
      </c>
      <c r="DB300" s="139">
        <v>-39893</v>
      </c>
      <c r="DC300" s="146">
        <v>21165</v>
      </c>
      <c r="DD300" s="146">
        <v>21230</v>
      </c>
      <c r="DE300" s="160"/>
      <c r="DG300" s="138">
        <v>-119</v>
      </c>
      <c r="DH300" s="138">
        <v>306</v>
      </c>
      <c r="DI300" s="139">
        <v>2689</v>
      </c>
      <c r="DJ300" s="138">
        <v>2974</v>
      </c>
      <c r="DK300" s="138">
        <v>301</v>
      </c>
      <c r="DM300" s="139">
        <v>16</v>
      </c>
      <c r="DN300" s="138">
        <v>137</v>
      </c>
      <c r="DQ300" s="138">
        <v>153</v>
      </c>
      <c r="DR300" s="139">
        <v>12044</v>
      </c>
      <c r="DS300" s="139">
        <v>2322</v>
      </c>
      <c r="DT300" s="176"/>
      <c r="DU300" s="138">
        <v>-773</v>
      </c>
      <c r="DV300" s="151">
        <v>-891</v>
      </c>
      <c r="DW300" s="138">
        <v>-167</v>
      </c>
      <c r="DX300" s="138">
        <v>21165</v>
      </c>
      <c r="DY300" s="146">
        <v>17770</v>
      </c>
      <c r="DZ300" s="196">
        <v>1685</v>
      </c>
      <c r="EA300" s="146">
        <v>1710</v>
      </c>
      <c r="EB300" s="114">
        <v>20.25</v>
      </c>
      <c r="EC300" s="152"/>
      <c r="ED300" s="138">
        <v>101</v>
      </c>
      <c r="EE300" s="138">
        <v>17043</v>
      </c>
      <c r="EF300" s="138">
        <v>18924</v>
      </c>
      <c r="EG300" s="138">
        <v>29833</v>
      </c>
      <c r="EH300" s="138"/>
      <c r="EI300" s="138"/>
      <c r="EJ300" s="138"/>
      <c r="EK300" s="3">
        <v>-5608</v>
      </c>
      <c r="EL300" s="138">
        <v>401</v>
      </c>
      <c r="EM300" s="138">
        <v>317</v>
      </c>
      <c r="EN300" s="3">
        <v>-3587</v>
      </c>
      <c r="EO300" s="138">
        <v>107</v>
      </c>
      <c r="EP300" s="138">
        <v>172</v>
      </c>
      <c r="EQ300" s="3">
        <v>-5397</v>
      </c>
      <c r="ER300" s="138">
        <v>1159</v>
      </c>
      <c r="ES300" s="138">
        <v>1749</v>
      </c>
      <c r="ET300" s="163">
        <v>3000</v>
      </c>
      <c r="EU300" s="163"/>
      <c r="EV300" s="138">
        <v>1500</v>
      </c>
      <c r="EW300" s="138"/>
      <c r="EX300" s="138">
        <v>231</v>
      </c>
      <c r="EY300" s="138"/>
      <c r="EZ300" s="138">
        <v>5072</v>
      </c>
      <c r="FA300" s="138">
        <v>4331</v>
      </c>
      <c r="FB300" s="138">
        <v>741</v>
      </c>
      <c r="FC300" s="138">
        <v>0</v>
      </c>
      <c r="FD300" s="138">
        <v>5831</v>
      </c>
      <c r="FE300" s="138">
        <v>4941</v>
      </c>
      <c r="FF300" s="138">
        <v>890</v>
      </c>
      <c r="FG300" s="138">
        <v>0</v>
      </c>
      <c r="FH300" s="138">
        <v>5171</v>
      </c>
      <c r="FI300" s="138">
        <v>4275</v>
      </c>
      <c r="FJ300" s="138">
        <v>896</v>
      </c>
      <c r="FK300" s="138">
        <v>0</v>
      </c>
      <c r="FL300" s="147">
        <v>2092</v>
      </c>
      <c r="FM300" s="147">
        <v>2150.4604550379195</v>
      </c>
      <c r="FO300" s="181">
        <f t="shared" si="12"/>
        <v>877.5308641975308</v>
      </c>
      <c r="FP300" s="179">
        <f t="shared" si="14"/>
        <v>120.5399538732872</v>
      </c>
      <c r="FR300" s="184"/>
      <c r="FV300" s="184">
        <v>444</v>
      </c>
      <c r="FW300" s="2">
        <f t="shared" si="13"/>
        <v>-444</v>
      </c>
    </row>
    <row r="301" spans="1:179" ht="12.75">
      <c r="A301" s="82">
        <v>946</v>
      </c>
      <c r="B301" s="80" t="s">
        <v>397</v>
      </c>
      <c r="C301" s="191">
        <v>6743</v>
      </c>
      <c r="D301" s="146"/>
      <c r="E301" s="150">
        <v>4.302395209580839</v>
      </c>
      <c r="F301" s="150">
        <v>22.5</v>
      </c>
      <c r="G301" s="151">
        <v>-1124</v>
      </c>
      <c r="H301" s="152"/>
      <c r="I301" s="152"/>
      <c r="J301" s="152"/>
      <c r="K301" s="150">
        <v>63</v>
      </c>
      <c r="L301" s="151">
        <v>163</v>
      </c>
      <c r="M301" s="151">
        <v>7</v>
      </c>
      <c r="N301" s="154">
        <v>8426.368085421918</v>
      </c>
      <c r="O301" s="146">
        <v>23654</v>
      </c>
      <c r="P301" s="139">
        <v>16454</v>
      </c>
      <c r="Q301" s="139">
        <v>51854</v>
      </c>
      <c r="R301" s="139">
        <v>-35400</v>
      </c>
      <c r="S301" s="146">
        <v>19273</v>
      </c>
      <c r="T301" s="139">
        <v>17567</v>
      </c>
      <c r="U301" s="160"/>
      <c r="W301" s="138">
        <v>-36</v>
      </c>
      <c r="X301" s="138">
        <v>-8</v>
      </c>
      <c r="Y301" s="139">
        <v>1396</v>
      </c>
      <c r="Z301" s="138">
        <v>1351</v>
      </c>
      <c r="AC301" s="139">
        <v>45</v>
      </c>
      <c r="AD301" s="138">
        <v>44</v>
      </c>
      <c r="AF301" s="138">
        <v>33</v>
      </c>
      <c r="AG301" s="139">
        <v>122</v>
      </c>
      <c r="AH301" s="139">
        <v>5147</v>
      </c>
      <c r="AI301" s="139">
        <v>1263</v>
      </c>
      <c r="AJ301" s="176"/>
      <c r="AK301" s="139">
        <v>-935</v>
      </c>
      <c r="AL301" s="151">
        <v>-293</v>
      </c>
      <c r="AM301" s="151">
        <v>-2639</v>
      </c>
      <c r="AN301" s="146">
        <v>19273</v>
      </c>
      <c r="AO301" s="139">
        <v>16012</v>
      </c>
      <c r="AP301" s="139">
        <v>2180</v>
      </c>
      <c r="AQ301" s="139">
        <v>1081</v>
      </c>
      <c r="AR301" s="114">
        <v>19</v>
      </c>
      <c r="AS301" s="152"/>
      <c r="AT301" s="138">
        <v>196</v>
      </c>
      <c r="AU301" s="191">
        <v>6680</v>
      </c>
      <c r="AV301" s="146"/>
      <c r="AW301" s="150">
        <v>1.7551440329218106</v>
      </c>
      <c r="AX301" s="150">
        <v>23.7</v>
      </c>
      <c r="AY301" s="151">
        <v>-1491</v>
      </c>
      <c r="AZ301" s="152"/>
      <c r="BA301" s="152"/>
      <c r="BB301" s="152"/>
      <c r="BC301" s="150">
        <v>59.2</v>
      </c>
      <c r="BD301" s="151">
        <v>58</v>
      </c>
      <c r="BE301" s="151">
        <v>2</v>
      </c>
      <c r="BF301" s="154">
        <v>8822.305389221556</v>
      </c>
      <c r="BG301" s="146">
        <v>24791</v>
      </c>
      <c r="BH301" s="139">
        <v>17239</v>
      </c>
      <c r="BI301" s="139">
        <v>54740</v>
      </c>
      <c r="BJ301" s="139">
        <v>-37501</v>
      </c>
      <c r="BK301" s="146">
        <v>19993</v>
      </c>
      <c r="BL301" s="146">
        <v>18260</v>
      </c>
      <c r="BM301" s="160"/>
      <c r="BO301" s="138">
        <v>-82</v>
      </c>
      <c r="BP301" s="138">
        <v>93</v>
      </c>
      <c r="BQ301" s="139">
        <v>763</v>
      </c>
      <c r="BR301" s="138">
        <v>1332</v>
      </c>
      <c r="BU301" s="139">
        <v>-569</v>
      </c>
      <c r="BV301" s="138">
        <v>44</v>
      </c>
      <c r="BX301" s="138">
        <v>37</v>
      </c>
      <c r="BY301" s="138">
        <v>-488</v>
      </c>
      <c r="BZ301" s="139">
        <v>4652</v>
      </c>
      <c r="CA301" s="139">
        <v>370</v>
      </c>
      <c r="CB301" s="176"/>
      <c r="CC301" s="139">
        <v>454</v>
      </c>
      <c r="CD301" s="151">
        <v>-396</v>
      </c>
      <c r="CE301" s="151">
        <v>-2329</v>
      </c>
      <c r="CF301" s="138">
        <v>19993</v>
      </c>
      <c r="CG301" s="139">
        <v>17265</v>
      </c>
      <c r="CH301" s="139">
        <v>1612</v>
      </c>
      <c r="CI301" s="139">
        <v>1116</v>
      </c>
      <c r="CJ301" s="114">
        <v>19</v>
      </c>
      <c r="CK301" s="152"/>
      <c r="CL301" s="138">
        <v>180</v>
      </c>
      <c r="CM301" s="190">
        <v>6691</v>
      </c>
      <c r="CN301" s="146"/>
      <c r="CO301" s="150">
        <v>1.2823315118397085</v>
      </c>
      <c r="CP301" s="150">
        <v>28.367767019897844</v>
      </c>
      <c r="CQ301" s="151">
        <v>-1728.5906441488569</v>
      </c>
      <c r="CR301" s="152"/>
      <c r="CS301" s="152"/>
      <c r="CT301" s="152"/>
      <c r="CU301" s="150">
        <v>56.14120577167763</v>
      </c>
      <c r="CV301" s="151">
        <v>134.21013301449707</v>
      </c>
      <c r="CW301" s="151">
        <v>5.9719413318757395</v>
      </c>
      <c r="CX301" s="154">
        <v>8202.80974443282</v>
      </c>
      <c r="CY301" s="146">
        <v>23637</v>
      </c>
      <c r="CZ301" s="139">
        <v>14281</v>
      </c>
      <c r="DA301" s="139">
        <v>51842</v>
      </c>
      <c r="DB301" s="139">
        <v>-37561</v>
      </c>
      <c r="DC301" s="146">
        <v>20522</v>
      </c>
      <c r="DD301" s="146">
        <v>17665</v>
      </c>
      <c r="DE301" s="160"/>
      <c r="DG301" s="138">
        <v>-47</v>
      </c>
      <c r="DH301" s="138">
        <v>73</v>
      </c>
      <c r="DI301" s="139">
        <v>652</v>
      </c>
      <c r="DJ301" s="138">
        <v>1416</v>
      </c>
      <c r="DM301" s="139">
        <v>-764</v>
      </c>
      <c r="DN301" s="138">
        <v>44</v>
      </c>
      <c r="DP301" s="138">
        <v>13</v>
      </c>
      <c r="DQ301" s="138">
        <v>-707</v>
      </c>
      <c r="DR301" s="139">
        <v>3945</v>
      </c>
      <c r="DS301" s="139">
        <v>414</v>
      </c>
      <c r="DT301" s="176"/>
      <c r="DU301" s="139">
        <v>385</v>
      </c>
      <c r="DV301" s="151">
        <v>-497</v>
      </c>
      <c r="DW301" s="138">
        <v>-1259</v>
      </c>
      <c r="DX301" s="138">
        <v>20522</v>
      </c>
      <c r="DY301" s="146">
        <v>17572</v>
      </c>
      <c r="DZ301" s="196">
        <v>1775</v>
      </c>
      <c r="EA301" s="146">
        <v>1175</v>
      </c>
      <c r="EB301" s="114">
        <v>19</v>
      </c>
      <c r="EC301" s="152"/>
      <c r="ED301" s="138">
        <v>247</v>
      </c>
      <c r="EE301" s="138">
        <v>21184</v>
      </c>
      <c r="EF301" s="138">
        <v>22605</v>
      </c>
      <c r="EG301" s="138">
        <v>20750</v>
      </c>
      <c r="EH301" s="138"/>
      <c r="EI301" s="138"/>
      <c r="EJ301" s="138"/>
      <c r="EK301" s="3">
        <v>-4510</v>
      </c>
      <c r="EL301" s="138">
        <v>372</v>
      </c>
      <c r="EM301" s="138">
        <v>236</v>
      </c>
      <c r="EN301" s="3">
        <v>-3699</v>
      </c>
      <c r="EO301" s="138">
        <v>312</v>
      </c>
      <c r="EP301" s="138">
        <v>688</v>
      </c>
      <c r="EQ301" s="3">
        <v>-2481</v>
      </c>
      <c r="ER301" s="138">
        <v>452</v>
      </c>
      <c r="ES301" s="138">
        <v>356</v>
      </c>
      <c r="ET301" s="163">
        <v>1700</v>
      </c>
      <c r="EU301" s="163">
        <v>800</v>
      </c>
      <c r="EV301" s="138">
        <v>1300</v>
      </c>
      <c r="EW301" s="138">
        <v>-801</v>
      </c>
      <c r="EX301" s="138">
        <v>1400</v>
      </c>
      <c r="EY301" s="138">
        <v>1302</v>
      </c>
      <c r="EZ301" s="138">
        <v>3841</v>
      </c>
      <c r="FA301" s="138">
        <v>2428</v>
      </c>
      <c r="FB301" s="138">
        <v>1413</v>
      </c>
      <c r="FC301" s="138">
        <v>31</v>
      </c>
      <c r="FD301" s="138">
        <v>3943</v>
      </c>
      <c r="FE301" s="138">
        <v>3332</v>
      </c>
      <c r="FF301" s="138">
        <v>611</v>
      </c>
      <c r="FG301" s="138">
        <v>31</v>
      </c>
      <c r="FH301" s="138">
        <v>6148</v>
      </c>
      <c r="FI301" s="138">
        <v>4103</v>
      </c>
      <c r="FJ301" s="138">
        <v>2045</v>
      </c>
      <c r="FK301" s="138">
        <v>31</v>
      </c>
      <c r="FL301" s="147">
        <v>1151</v>
      </c>
      <c r="FM301" s="147">
        <v>1276.4970059880238</v>
      </c>
      <c r="FO301" s="181">
        <f t="shared" si="12"/>
        <v>924.8421052631579</v>
      </c>
      <c r="FP301" s="179">
        <f t="shared" si="14"/>
        <v>138.22180619685517</v>
      </c>
      <c r="FR301" s="184"/>
      <c r="FV301" s="184">
        <v>293</v>
      </c>
      <c r="FW301" s="2">
        <f t="shared" si="13"/>
        <v>-293</v>
      </c>
    </row>
    <row r="302" spans="1:179" ht="12.75">
      <c r="A302" s="82">
        <v>976</v>
      </c>
      <c r="B302" s="80" t="s">
        <v>290</v>
      </c>
      <c r="C302" s="191">
        <v>4650</v>
      </c>
      <c r="D302" s="146"/>
      <c r="E302" s="150">
        <v>9.608374384236454</v>
      </c>
      <c r="F302" s="150">
        <v>12.4</v>
      </c>
      <c r="G302" s="151">
        <v>2258</v>
      </c>
      <c r="H302" s="152"/>
      <c r="I302" s="152"/>
      <c r="J302" s="152"/>
      <c r="K302" s="150">
        <v>84.7</v>
      </c>
      <c r="L302" s="151">
        <v>2784</v>
      </c>
      <c r="M302" s="151">
        <v>137</v>
      </c>
      <c r="N302" s="154">
        <v>7424.94623655914</v>
      </c>
      <c r="O302" s="146">
        <v>17803</v>
      </c>
      <c r="P302" s="139">
        <v>9339</v>
      </c>
      <c r="Q302" s="139">
        <v>33684</v>
      </c>
      <c r="R302" s="139">
        <v>-24345</v>
      </c>
      <c r="S302" s="146">
        <v>11574</v>
      </c>
      <c r="T302" s="139">
        <v>16359</v>
      </c>
      <c r="U302" s="160"/>
      <c r="W302" s="138">
        <v>202</v>
      </c>
      <c r="X302" s="138">
        <v>96</v>
      </c>
      <c r="Y302" s="139">
        <v>3886</v>
      </c>
      <c r="Z302" s="138">
        <v>1013</v>
      </c>
      <c r="AC302" s="139">
        <v>2873</v>
      </c>
      <c r="AD302" s="138">
        <v>25</v>
      </c>
      <c r="AG302" s="139">
        <v>2898</v>
      </c>
      <c r="AH302" s="139">
        <v>4299</v>
      </c>
      <c r="AI302" s="139">
        <v>3824</v>
      </c>
      <c r="AJ302" s="176"/>
      <c r="AK302" s="139">
        <v>-455</v>
      </c>
      <c r="AL302" s="151">
        <v>-391</v>
      </c>
      <c r="AM302" s="151">
        <v>3889</v>
      </c>
      <c r="AN302" s="146">
        <v>11574</v>
      </c>
      <c r="AO302" s="139">
        <v>9870</v>
      </c>
      <c r="AP302" s="139">
        <v>972</v>
      </c>
      <c r="AQ302" s="139">
        <v>732</v>
      </c>
      <c r="AR302" s="114">
        <v>19.25</v>
      </c>
      <c r="AS302" s="152"/>
      <c r="AT302" s="138">
        <v>11</v>
      </c>
      <c r="AU302" s="191">
        <v>4556</v>
      </c>
      <c r="AV302" s="146"/>
      <c r="AW302" s="150">
        <v>15.932203389830509</v>
      </c>
      <c r="AX302" s="150">
        <v>12.1</v>
      </c>
      <c r="AY302" s="151">
        <v>2605</v>
      </c>
      <c r="AZ302" s="152"/>
      <c r="BA302" s="152"/>
      <c r="BB302" s="152"/>
      <c r="BC302" s="150">
        <v>83.8</v>
      </c>
      <c r="BD302" s="151">
        <v>3203</v>
      </c>
      <c r="BE302" s="151">
        <v>133</v>
      </c>
      <c r="BF302" s="154">
        <v>8816.94468832309</v>
      </c>
      <c r="BG302" s="146">
        <v>18708</v>
      </c>
      <c r="BH302" s="139">
        <v>9663</v>
      </c>
      <c r="BI302" s="139">
        <v>37687</v>
      </c>
      <c r="BJ302" s="139">
        <v>-28024</v>
      </c>
      <c r="BK302" s="146">
        <v>11536</v>
      </c>
      <c r="BL302" s="146">
        <v>18951</v>
      </c>
      <c r="BM302" s="160"/>
      <c r="BO302" s="138">
        <v>286</v>
      </c>
      <c r="BP302" s="138">
        <v>63</v>
      </c>
      <c r="BQ302" s="139">
        <v>2812</v>
      </c>
      <c r="BR302" s="138">
        <v>1889</v>
      </c>
      <c r="BU302" s="139">
        <v>923</v>
      </c>
      <c r="BV302" s="138">
        <v>25</v>
      </c>
      <c r="BY302" s="138">
        <v>948</v>
      </c>
      <c r="BZ302" s="139">
        <v>5248</v>
      </c>
      <c r="CA302" s="139">
        <v>2812</v>
      </c>
      <c r="CB302" s="176"/>
      <c r="CC302" s="139">
        <v>19</v>
      </c>
      <c r="CD302" s="151">
        <v>-169</v>
      </c>
      <c r="CE302" s="151">
        <v>1568</v>
      </c>
      <c r="CF302" s="138">
        <v>11536</v>
      </c>
      <c r="CG302" s="139">
        <v>10132</v>
      </c>
      <c r="CH302" s="139">
        <v>666</v>
      </c>
      <c r="CI302" s="139">
        <v>738</v>
      </c>
      <c r="CJ302" s="114">
        <v>19.25</v>
      </c>
      <c r="CK302" s="152"/>
      <c r="CL302" s="138">
        <v>13</v>
      </c>
      <c r="CM302" s="190">
        <v>4482</v>
      </c>
      <c r="CN302" s="146"/>
      <c r="CO302" s="150">
        <v>472</v>
      </c>
      <c r="CP302" s="150">
        <v>13.108735827381249</v>
      </c>
      <c r="CQ302" s="151">
        <v>2699.4645247657295</v>
      </c>
      <c r="CR302" s="152"/>
      <c r="CS302" s="152"/>
      <c r="CT302" s="152"/>
      <c r="CU302" s="150">
        <v>83.43970353595141</v>
      </c>
      <c r="CV302" s="151">
        <v>3534.359660865685</v>
      </c>
      <c r="CW302" s="151">
        <v>143.96606244708929</v>
      </c>
      <c r="CX302" s="154">
        <v>8960.731816153502</v>
      </c>
      <c r="CY302" s="146">
        <v>19386</v>
      </c>
      <c r="CZ302" s="139">
        <v>9145</v>
      </c>
      <c r="DA302" s="139">
        <v>38533</v>
      </c>
      <c r="DB302" s="139">
        <v>-29388</v>
      </c>
      <c r="DC302" s="146">
        <v>11872</v>
      </c>
      <c r="DD302" s="146">
        <v>19025</v>
      </c>
      <c r="DE302" s="160"/>
      <c r="DG302" s="138">
        <v>331</v>
      </c>
      <c r="DH302" s="138">
        <v>46</v>
      </c>
      <c r="DI302" s="139">
        <v>1886</v>
      </c>
      <c r="DJ302" s="138">
        <v>998</v>
      </c>
      <c r="DM302" s="139">
        <v>888</v>
      </c>
      <c r="DN302" s="138">
        <v>25</v>
      </c>
      <c r="DP302" s="138">
        <v>30</v>
      </c>
      <c r="DQ302" s="138">
        <v>943</v>
      </c>
      <c r="DR302" s="139">
        <v>5969</v>
      </c>
      <c r="DS302" s="139">
        <v>1895</v>
      </c>
      <c r="DT302" s="176"/>
      <c r="DU302" s="139">
        <v>646</v>
      </c>
      <c r="DV302" s="151">
        <v>-2</v>
      </c>
      <c r="DW302" s="138">
        <v>386</v>
      </c>
      <c r="DX302" s="138">
        <v>11872</v>
      </c>
      <c r="DY302" s="146">
        <v>10373</v>
      </c>
      <c r="DZ302" s="196">
        <v>723</v>
      </c>
      <c r="EA302" s="146">
        <v>776</v>
      </c>
      <c r="EB302" s="114">
        <v>19.25</v>
      </c>
      <c r="EC302" s="152"/>
      <c r="ED302" s="138">
        <v>80</v>
      </c>
      <c r="EE302" s="138">
        <v>12221</v>
      </c>
      <c r="EF302" s="138">
        <v>14626</v>
      </c>
      <c r="EG302" s="138">
        <v>14924</v>
      </c>
      <c r="EH302" s="138"/>
      <c r="EI302" s="138"/>
      <c r="EJ302" s="138"/>
      <c r="EK302" s="3">
        <v>-427</v>
      </c>
      <c r="EL302" s="138">
        <v>33</v>
      </c>
      <c r="EM302" s="138">
        <v>459</v>
      </c>
      <c r="EN302" s="3">
        <v>-1944</v>
      </c>
      <c r="EO302" s="138">
        <v>666</v>
      </c>
      <c r="EP302" s="138">
        <v>34</v>
      </c>
      <c r="EQ302" s="3">
        <v>-1564</v>
      </c>
      <c r="ER302" s="138">
        <v>41</v>
      </c>
      <c r="ES302" s="138">
        <v>14</v>
      </c>
      <c r="ET302" s="163"/>
      <c r="EU302" s="163"/>
      <c r="EV302" s="138"/>
      <c r="EW302" s="138"/>
      <c r="EX302" s="138"/>
      <c r="EY302" s="138">
        <v>-17</v>
      </c>
      <c r="EZ302" s="138">
        <v>865</v>
      </c>
      <c r="FA302" s="138">
        <v>695</v>
      </c>
      <c r="FB302" s="138">
        <v>170</v>
      </c>
      <c r="FC302" s="138">
        <v>725</v>
      </c>
      <c r="FD302" s="138">
        <v>696</v>
      </c>
      <c r="FE302" s="138">
        <v>677</v>
      </c>
      <c r="FF302" s="138">
        <v>19</v>
      </c>
      <c r="FG302" s="138">
        <v>1043</v>
      </c>
      <c r="FH302" s="138">
        <v>677</v>
      </c>
      <c r="FI302" s="138">
        <v>658</v>
      </c>
      <c r="FJ302" s="138">
        <v>19</v>
      </c>
      <c r="FK302" s="138">
        <v>1051</v>
      </c>
      <c r="FL302" s="147">
        <v>1461</v>
      </c>
      <c r="FM302" s="147">
        <v>1360.1843722563651</v>
      </c>
      <c r="FO302" s="181">
        <f t="shared" si="12"/>
        <v>538.8571428571429</v>
      </c>
      <c r="FP302" s="179">
        <f t="shared" si="14"/>
        <v>120.22693950404795</v>
      </c>
      <c r="FR302" s="184"/>
      <c r="FV302" s="184">
        <v>391</v>
      </c>
      <c r="FW302" s="2">
        <f t="shared" si="13"/>
        <v>-391</v>
      </c>
    </row>
    <row r="303" spans="1:179" ht="12.75">
      <c r="A303" s="82">
        <v>977</v>
      </c>
      <c r="B303" s="80" t="s">
        <v>291</v>
      </c>
      <c r="C303" s="191">
        <v>14266</v>
      </c>
      <c r="D303" s="146"/>
      <c r="E303" s="150">
        <v>0.8502246630054917</v>
      </c>
      <c r="F303" s="150">
        <v>63.4</v>
      </c>
      <c r="G303" s="151">
        <v>-3754</v>
      </c>
      <c r="H303" s="152"/>
      <c r="I303" s="152"/>
      <c r="J303" s="152"/>
      <c r="K303" s="150">
        <v>18.8</v>
      </c>
      <c r="L303" s="151">
        <v>144</v>
      </c>
      <c r="M303" s="151">
        <v>7</v>
      </c>
      <c r="N303" s="154">
        <v>7029.791111734193</v>
      </c>
      <c r="O303" s="146">
        <v>29619</v>
      </c>
      <c r="P303" s="139">
        <v>21658</v>
      </c>
      <c r="Q303" s="139">
        <v>89193</v>
      </c>
      <c r="R303" s="139">
        <v>-67535</v>
      </c>
      <c r="S303" s="146">
        <v>45860</v>
      </c>
      <c r="T303" s="139">
        <v>26671</v>
      </c>
      <c r="U303" s="160"/>
      <c r="W303" s="138">
        <v>-968</v>
      </c>
      <c r="X303" s="138">
        <v>73</v>
      </c>
      <c r="Y303" s="139">
        <v>4101</v>
      </c>
      <c r="Z303" s="138">
        <v>3257</v>
      </c>
      <c r="AA303" s="138">
        <v>368</v>
      </c>
      <c r="AC303" s="139">
        <v>1212</v>
      </c>
      <c r="AD303" s="138">
        <v>50</v>
      </c>
      <c r="AG303" s="139">
        <v>1262</v>
      </c>
      <c r="AH303" s="139">
        <v>-6423</v>
      </c>
      <c r="AI303" s="139">
        <v>3071</v>
      </c>
      <c r="AJ303" s="176"/>
      <c r="AK303" s="138">
        <v>961</v>
      </c>
      <c r="AL303" s="151">
        <v>-5001</v>
      </c>
      <c r="AM303" s="151">
        <v>3078</v>
      </c>
      <c r="AN303" s="146">
        <v>45860</v>
      </c>
      <c r="AO303" s="139">
        <v>39264</v>
      </c>
      <c r="AP303" s="139">
        <v>3563</v>
      </c>
      <c r="AQ303" s="139">
        <v>3033</v>
      </c>
      <c r="AR303" s="114">
        <v>21</v>
      </c>
      <c r="AS303" s="152"/>
      <c r="AT303" s="138">
        <v>132</v>
      </c>
      <c r="AU303" s="191">
        <v>14533</v>
      </c>
      <c r="AV303" s="146"/>
      <c r="AW303" s="150">
        <v>0.5651851851851852</v>
      </c>
      <c r="AX303" s="150">
        <v>65.1</v>
      </c>
      <c r="AY303" s="151">
        <v>-3980</v>
      </c>
      <c r="AZ303" s="152"/>
      <c r="BA303" s="152"/>
      <c r="BB303" s="152"/>
      <c r="BC303" s="150">
        <v>17.1</v>
      </c>
      <c r="BD303" s="151">
        <v>40</v>
      </c>
      <c r="BE303" s="151">
        <v>2</v>
      </c>
      <c r="BF303" s="154">
        <v>7292.093855363655</v>
      </c>
      <c r="BG303" s="146">
        <v>30483</v>
      </c>
      <c r="BH303" s="139">
        <v>22228</v>
      </c>
      <c r="BI303" s="139">
        <v>93079</v>
      </c>
      <c r="BJ303" s="139">
        <v>-70851</v>
      </c>
      <c r="BK303" s="146">
        <v>45976</v>
      </c>
      <c r="BL303" s="146">
        <v>27856</v>
      </c>
      <c r="BM303" s="160"/>
      <c r="BO303" s="138">
        <v>-529</v>
      </c>
      <c r="BP303" s="138">
        <v>50</v>
      </c>
      <c r="BQ303" s="139">
        <v>2502</v>
      </c>
      <c r="BR303" s="138">
        <v>3451</v>
      </c>
      <c r="BU303" s="139">
        <v>-949</v>
      </c>
      <c r="BV303" s="138">
        <v>-219</v>
      </c>
      <c r="BY303" s="138">
        <v>-1168</v>
      </c>
      <c r="BZ303" s="139">
        <v>-7590</v>
      </c>
      <c r="CA303" s="139">
        <v>1572</v>
      </c>
      <c r="CB303" s="176"/>
      <c r="CD303" s="151">
        <v>-4850</v>
      </c>
      <c r="CE303" s="151">
        <v>-4214</v>
      </c>
      <c r="CF303" s="138">
        <v>45976</v>
      </c>
      <c r="CG303" s="139">
        <v>40275</v>
      </c>
      <c r="CH303" s="139">
        <v>2498</v>
      </c>
      <c r="CI303" s="139">
        <v>3203</v>
      </c>
      <c r="CJ303" s="114">
        <v>21</v>
      </c>
      <c r="CK303" s="152"/>
      <c r="CL303" s="138">
        <v>136</v>
      </c>
      <c r="CM303" s="190">
        <v>14748</v>
      </c>
      <c r="CN303" s="146"/>
      <c r="CO303" s="150">
        <v>0.44675456389452334</v>
      </c>
      <c r="CP303" s="150">
        <v>64.42135195999847</v>
      </c>
      <c r="CQ303" s="151">
        <v>-4057.2280987252507</v>
      </c>
      <c r="CR303" s="152"/>
      <c r="CS303" s="152"/>
      <c r="CT303" s="152"/>
      <c r="CU303" s="150">
        <v>16.325873051280144</v>
      </c>
      <c r="CV303" s="151">
        <v>82.45185787903445</v>
      </c>
      <c r="CW303" s="151">
        <v>3.769661967046034</v>
      </c>
      <c r="CX303" s="154">
        <v>7983.455383780852</v>
      </c>
      <c r="CY303" s="146">
        <v>33891</v>
      </c>
      <c r="CZ303" s="139">
        <v>26254</v>
      </c>
      <c r="DA303" s="139">
        <v>100422</v>
      </c>
      <c r="DB303" s="139">
        <v>-74168</v>
      </c>
      <c r="DC303" s="146">
        <v>49929</v>
      </c>
      <c r="DD303" s="146">
        <v>28613</v>
      </c>
      <c r="DE303" s="160"/>
      <c r="DG303" s="138">
        <v>-466</v>
      </c>
      <c r="DH303" s="138">
        <v>15</v>
      </c>
      <c r="DI303" s="139">
        <v>3923</v>
      </c>
      <c r="DJ303" s="138">
        <v>3646</v>
      </c>
      <c r="DM303" s="139">
        <v>277</v>
      </c>
      <c r="DN303" s="138">
        <v>-162</v>
      </c>
      <c r="DQ303" s="138">
        <v>115</v>
      </c>
      <c r="DR303" s="139">
        <v>-7476</v>
      </c>
      <c r="DS303" s="139">
        <v>3333</v>
      </c>
      <c r="DT303" s="176"/>
      <c r="DU303" s="138">
        <v>-2436</v>
      </c>
      <c r="DV303" s="151">
        <v>-9378</v>
      </c>
      <c r="DW303" s="138">
        <v>-2053</v>
      </c>
      <c r="DX303" s="138">
        <v>49929</v>
      </c>
      <c r="DY303" s="146">
        <v>43856</v>
      </c>
      <c r="DZ303" s="196">
        <v>2431</v>
      </c>
      <c r="EA303" s="146">
        <v>3642</v>
      </c>
      <c r="EB303" s="114">
        <v>21.5</v>
      </c>
      <c r="EC303" s="152"/>
      <c r="ED303" s="138">
        <v>161</v>
      </c>
      <c r="EE303" s="138">
        <v>52141</v>
      </c>
      <c r="EF303" s="138">
        <v>54795</v>
      </c>
      <c r="EG303" s="138">
        <v>57246</v>
      </c>
      <c r="EH303" s="138"/>
      <c r="EI303" s="138"/>
      <c r="EJ303" s="138"/>
      <c r="EK303" s="3">
        <v>-5075</v>
      </c>
      <c r="EL303" s="138">
        <v>1064</v>
      </c>
      <c r="EM303" s="138">
        <v>4018</v>
      </c>
      <c r="EN303" s="3">
        <v>-7485</v>
      </c>
      <c r="EO303" s="138">
        <v>196</v>
      </c>
      <c r="EP303" s="138">
        <v>1503</v>
      </c>
      <c r="EQ303" s="3">
        <v>-7447</v>
      </c>
      <c r="ER303" s="138">
        <v>1325</v>
      </c>
      <c r="ES303" s="138">
        <v>736</v>
      </c>
      <c r="ET303" s="163">
        <v>5000</v>
      </c>
      <c r="EU303" s="163">
        <v>-5500</v>
      </c>
      <c r="EV303" s="138"/>
      <c r="EW303" s="138">
        <v>7000</v>
      </c>
      <c r="EX303" s="138">
        <v>5000</v>
      </c>
      <c r="EY303" s="138">
        <v>8000</v>
      </c>
      <c r="EZ303" s="138">
        <v>48895</v>
      </c>
      <c r="FA303" s="138">
        <v>31545</v>
      </c>
      <c r="FB303" s="138">
        <v>17350</v>
      </c>
      <c r="FC303" s="138">
        <v>0</v>
      </c>
      <c r="FD303" s="138">
        <v>51044</v>
      </c>
      <c r="FE303" s="138">
        <v>22166</v>
      </c>
      <c r="FF303" s="138">
        <v>28878</v>
      </c>
      <c r="FG303" s="138">
        <v>0</v>
      </c>
      <c r="FH303" s="138">
        <v>54666</v>
      </c>
      <c r="FI303" s="138">
        <v>23417</v>
      </c>
      <c r="FJ303" s="138">
        <v>31249</v>
      </c>
      <c r="FK303" s="138">
        <v>0</v>
      </c>
      <c r="FL303" s="147">
        <v>4632</v>
      </c>
      <c r="FM303" s="147">
        <v>4782.563820271107</v>
      </c>
      <c r="FO303" s="181">
        <f t="shared" si="12"/>
        <v>2039.8139534883721</v>
      </c>
      <c r="FP303" s="179">
        <f t="shared" si="14"/>
        <v>138.31122548741334</v>
      </c>
      <c r="FR303" s="184"/>
      <c r="FV303" s="184">
        <v>5001</v>
      </c>
      <c r="FW303" s="2">
        <f t="shared" si="13"/>
        <v>-5001</v>
      </c>
    </row>
    <row r="304" spans="1:179" ht="12.75">
      <c r="A304" s="82">
        <v>980</v>
      </c>
      <c r="B304" s="80" t="s">
        <v>292</v>
      </c>
      <c r="C304" s="191">
        <v>30942</v>
      </c>
      <c r="D304" s="146"/>
      <c r="E304" s="150">
        <v>1.5044929396662388</v>
      </c>
      <c r="F304" s="150">
        <v>49.7</v>
      </c>
      <c r="G304" s="151">
        <v>-2009</v>
      </c>
      <c r="H304" s="152"/>
      <c r="I304" s="152"/>
      <c r="J304" s="152"/>
      <c r="K304" s="150">
        <v>55.9</v>
      </c>
      <c r="L304" s="151">
        <v>495</v>
      </c>
      <c r="M304" s="151">
        <v>30</v>
      </c>
      <c r="N304" s="154">
        <v>5955.141878353047</v>
      </c>
      <c r="O304" s="146">
        <v>79062</v>
      </c>
      <c r="P304" s="139">
        <v>32155</v>
      </c>
      <c r="Q304" s="139">
        <v>158156</v>
      </c>
      <c r="R304" s="139">
        <v>-126001</v>
      </c>
      <c r="S304" s="146">
        <v>104688</v>
      </c>
      <c r="T304" s="139">
        <v>37086</v>
      </c>
      <c r="U304" s="160"/>
      <c r="W304" s="138">
        <v>-2334</v>
      </c>
      <c r="X304" s="138">
        <v>603</v>
      </c>
      <c r="Y304" s="139">
        <v>14042</v>
      </c>
      <c r="Z304" s="138">
        <v>9531</v>
      </c>
      <c r="AA304" s="139"/>
      <c r="AC304" s="139">
        <v>4511</v>
      </c>
      <c r="AD304" s="138">
        <v>396</v>
      </c>
      <c r="AG304" s="139">
        <v>4907</v>
      </c>
      <c r="AH304" s="139">
        <v>30321</v>
      </c>
      <c r="AI304" s="139">
        <v>11586</v>
      </c>
      <c r="AJ304" s="176"/>
      <c r="AK304" s="138">
        <v>240</v>
      </c>
      <c r="AL304" s="151">
        <v>-8540</v>
      </c>
      <c r="AM304" s="151">
        <v>-1334</v>
      </c>
      <c r="AN304" s="146">
        <v>104688</v>
      </c>
      <c r="AO304" s="139">
        <v>93051</v>
      </c>
      <c r="AP304" s="139">
        <v>5339</v>
      </c>
      <c r="AQ304" s="139">
        <v>6298</v>
      </c>
      <c r="AR304" s="114">
        <v>19.75</v>
      </c>
      <c r="AS304" s="152"/>
      <c r="AT304" s="138">
        <v>56</v>
      </c>
      <c r="AU304" s="191">
        <v>31515</v>
      </c>
      <c r="AV304" s="146"/>
      <c r="AW304" s="150">
        <v>0.6897838066977533</v>
      </c>
      <c r="AX304" s="150">
        <v>59.6</v>
      </c>
      <c r="AY304" s="151">
        <v>-2590</v>
      </c>
      <c r="AZ304" s="152"/>
      <c r="BA304" s="152"/>
      <c r="BB304" s="152"/>
      <c r="BC304" s="150">
        <v>49.3</v>
      </c>
      <c r="BD304" s="151">
        <v>429</v>
      </c>
      <c r="BE304" s="151">
        <v>24</v>
      </c>
      <c r="BF304" s="154">
        <v>6531.207361573854</v>
      </c>
      <c r="BG304" s="146">
        <v>82954</v>
      </c>
      <c r="BH304" s="139">
        <v>34243</v>
      </c>
      <c r="BI304" s="139">
        <v>171145</v>
      </c>
      <c r="BJ304" s="139">
        <v>-136902</v>
      </c>
      <c r="BK304" s="146">
        <v>106930</v>
      </c>
      <c r="BL304" s="146">
        <v>37021</v>
      </c>
      <c r="BM304" s="160"/>
      <c r="BO304" s="138">
        <v>-2203</v>
      </c>
      <c r="BP304" s="138">
        <v>1059</v>
      </c>
      <c r="BQ304" s="139">
        <v>5913</v>
      </c>
      <c r="BR304" s="138">
        <v>10570</v>
      </c>
      <c r="BS304" s="139"/>
      <c r="BT304" s="138">
        <v>1882</v>
      </c>
      <c r="BU304" s="139">
        <v>-6539</v>
      </c>
      <c r="BV304" s="138">
        <v>387</v>
      </c>
      <c r="BW304" s="138">
        <v>1800</v>
      </c>
      <c r="BY304" s="138">
        <v>-4352</v>
      </c>
      <c r="BZ304" s="139">
        <v>25968</v>
      </c>
      <c r="CA304" s="139">
        <v>3808</v>
      </c>
      <c r="CB304" s="176"/>
      <c r="CC304" s="138">
        <v>-283</v>
      </c>
      <c r="CD304" s="151">
        <v>-9572</v>
      </c>
      <c r="CE304" s="151">
        <v>-19477</v>
      </c>
      <c r="CF304" s="138">
        <v>106930</v>
      </c>
      <c r="CG304" s="139">
        <v>96659</v>
      </c>
      <c r="CH304" s="139">
        <v>3779</v>
      </c>
      <c r="CI304" s="139">
        <v>6492</v>
      </c>
      <c r="CJ304" s="114">
        <v>19.75</v>
      </c>
      <c r="CK304" s="152"/>
      <c r="CL304" s="138">
        <v>123</v>
      </c>
      <c r="CM304" s="190">
        <v>31743</v>
      </c>
      <c r="CN304" s="146"/>
      <c r="CO304" s="150">
        <v>1.0130927670445473</v>
      </c>
      <c r="CP304" s="150">
        <v>64.07925851431057</v>
      </c>
      <c r="CQ304" s="151">
        <v>-2893.519831143874</v>
      </c>
      <c r="CR304" s="152"/>
      <c r="CS304" s="152"/>
      <c r="CT304" s="152"/>
      <c r="CU304" s="150">
        <v>47.2814917395101</v>
      </c>
      <c r="CV304" s="151">
        <v>483.57118104779005</v>
      </c>
      <c r="CW304" s="151">
        <v>25.752310824910484</v>
      </c>
      <c r="CX304" s="154">
        <v>6853.889046403932</v>
      </c>
      <c r="CY304" s="146">
        <v>84233</v>
      </c>
      <c r="CZ304" s="139">
        <v>37332</v>
      </c>
      <c r="DA304" s="139">
        <v>175275</v>
      </c>
      <c r="DB304" s="139">
        <v>-137943</v>
      </c>
      <c r="DC304" s="146">
        <v>113843</v>
      </c>
      <c r="DD304" s="146">
        <v>36753</v>
      </c>
      <c r="DE304" s="160"/>
      <c r="DG304" s="138">
        <v>-1119</v>
      </c>
      <c r="DH304" s="138">
        <v>25</v>
      </c>
      <c r="DI304" s="139">
        <v>11559</v>
      </c>
      <c r="DJ304" s="138">
        <v>13556</v>
      </c>
      <c r="DK304" s="139">
        <v>5701</v>
      </c>
      <c r="DL304" s="138">
        <v>170</v>
      </c>
      <c r="DM304" s="139">
        <v>3534</v>
      </c>
      <c r="DN304" s="138">
        <v>380</v>
      </c>
      <c r="DO304" s="138">
        <v>-200</v>
      </c>
      <c r="DQ304" s="138">
        <v>3714</v>
      </c>
      <c r="DR304" s="139">
        <v>29681</v>
      </c>
      <c r="DS304" s="139">
        <v>11821</v>
      </c>
      <c r="DT304" s="176"/>
      <c r="DU304" s="138">
        <v>-2061</v>
      </c>
      <c r="DV304" s="151">
        <v>-11395</v>
      </c>
      <c r="DW304" s="138">
        <v>-12272</v>
      </c>
      <c r="DX304" s="138">
        <v>113843</v>
      </c>
      <c r="DY304" s="146">
        <v>102649</v>
      </c>
      <c r="DZ304" s="196">
        <v>4367</v>
      </c>
      <c r="EA304" s="146">
        <v>6827</v>
      </c>
      <c r="EB304" s="114">
        <v>19.75</v>
      </c>
      <c r="EC304" s="152"/>
      <c r="ED304" s="138">
        <v>105</v>
      </c>
      <c r="EE304" s="138">
        <v>58949</v>
      </c>
      <c r="EF304" s="138">
        <v>65532</v>
      </c>
      <c r="EG304" s="138">
        <v>67271</v>
      </c>
      <c r="EH304" s="138"/>
      <c r="EI304" s="138"/>
      <c r="EJ304" s="138"/>
      <c r="EK304" s="3">
        <v>-15930</v>
      </c>
      <c r="EL304" s="138">
        <v>211</v>
      </c>
      <c r="EM304" s="138">
        <v>2799</v>
      </c>
      <c r="EN304" s="3">
        <v>-26852</v>
      </c>
      <c r="EO304" s="138">
        <v>588</v>
      </c>
      <c r="EP304" s="138">
        <v>2980</v>
      </c>
      <c r="EQ304" s="3">
        <v>-32684</v>
      </c>
      <c r="ER304" s="138">
        <v>952</v>
      </c>
      <c r="ES304" s="138">
        <v>7639</v>
      </c>
      <c r="ET304" s="163">
        <v>12000</v>
      </c>
      <c r="EU304" s="163">
        <v>-3500</v>
      </c>
      <c r="EV304" s="138">
        <v>15000</v>
      </c>
      <c r="EW304" s="138">
        <v>10000</v>
      </c>
      <c r="EX304" s="138">
        <v>20000</v>
      </c>
      <c r="EY304" s="138">
        <v>6000</v>
      </c>
      <c r="EZ304" s="138">
        <v>62505</v>
      </c>
      <c r="FA304" s="138">
        <v>52934</v>
      </c>
      <c r="FB304" s="138">
        <v>9571</v>
      </c>
      <c r="FC304" s="138">
        <v>364</v>
      </c>
      <c r="FD304" s="138">
        <v>77936</v>
      </c>
      <c r="FE304" s="138">
        <v>57040</v>
      </c>
      <c r="FF304" s="138">
        <v>20896</v>
      </c>
      <c r="FG304" s="138">
        <v>337</v>
      </c>
      <c r="FH304" s="138">
        <v>92540</v>
      </c>
      <c r="FI304" s="138">
        <v>63834</v>
      </c>
      <c r="FJ304" s="138">
        <v>28706</v>
      </c>
      <c r="FK304" s="138">
        <v>315</v>
      </c>
      <c r="FL304" s="147">
        <v>2324</v>
      </c>
      <c r="FM304" s="147">
        <v>2747.453593526892</v>
      </c>
      <c r="FO304" s="181">
        <f t="shared" si="12"/>
        <v>5197.4177215189875</v>
      </c>
      <c r="FP304" s="179">
        <f t="shared" si="14"/>
        <v>163.73429485300656</v>
      </c>
      <c r="FR304" s="184"/>
      <c r="FV304" s="184">
        <v>8540</v>
      </c>
      <c r="FW304" s="2">
        <f t="shared" si="13"/>
        <v>-8540</v>
      </c>
    </row>
    <row r="305" spans="1:179" ht="12.75">
      <c r="A305" s="82">
        <v>981</v>
      </c>
      <c r="B305" s="80" t="s">
        <v>293</v>
      </c>
      <c r="C305" s="191">
        <v>2550</v>
      </c>
      <c r="D305" s="146"/>
      <c r="E305" s="150">
        <v>1.9140625</v>
      </c>
      <c r="F305" s="150">
        <v>26.3</v>
      </c>
      <c r="G305" s="151">
        <v>-946</v>
      </c>
      <c r="H305" s="152"/>
      <c r="I305" s="152"/>
      <c r="J305" s="152"/>
      <c r="K305" s="150">
        <v>66.4</v>
      </c>
      <c r="L305" s="151">
        <v>493</v>
      </c>
      <c r="M305" s="151">
        <v>25</v>
      </c>
      <c r="N305" s="154">
        <v>7253.333333333333</v>
      </c>
      <c r="O305" s="146">
        <v>9501</v>
      </c>
      <c r="P305" s="139">
        <v>6013</v>
      </c>
      <c r="Q305" s="139">
        <v>17770</v>
      </c>
      <c r="R305" s="139">
        <v>-11757</v>
      </c>
      <c r="S305" s="146">
        <v>6319</v>
      </c>
      <c r="T305" s="139">
        <v>5639</v>
      </c>
      <c r="U305" s="160"/>
      <c r="W305" s="138">
        <v>-38</v>
      </c>
      <c r="X305" s="138">
        <v>33</v>
      </c>
      <c r="Y305" s="139">
        <v>196</v>
      </c>
      <c r="Z305" s="138">
        <v>618</v>
      </c>
      <c r="AC305" s="139">
        <v>-422</v>
      </c>
      <c r="AD305" s="139">
        <v>13</v>
      </c>
      <c r="AE305" s="139"/>
      <c r="AG305" s="139">
        <v>-409</v>
      </c>
      <c r="AH305" s="139">
        <v>2327</v>
      </c>
      <c r="AI305" s="139">
        <v>191</v>
      </c>
      <c r="AJ305" s="176"/>
      <c r="AK305" s="138">
        <v>-196</v>
      </c>
      <c r="AL305" s="151">
        <v>-71</v>
      </c>
      <c r="AM305" s="151">
        <v>-381</v>
      </c>
      <c r="AN305" s="146">
        <v>6319</v>
      </c>
      <c r="AO305" s="139">
        <v>5822</v>
      </c>
      <c r="AP305" s="139">
        <v>267</v>
      </c>
      <c r="AQ305" s="139">
        <v>230</v>
      </c>
      <c r="AR305" s="114">
        <v>19.5</v>
      </c>
      <c r="AS305" s="152"/>
      <c r="AT305" s="138">
        <v>255</v>
      </c>
      <c r="AU305" s="191">
        <v>2509</v>
      </c>
      <c r="AV305" s="146"/>
      <c r="AW305" s="150">
        <v>0.5190713101160862</v>
      </c>
      <c r="AX305" s="150">
        <v>21.8</v>
      </c>
      <c r="AY305" s="151">
        <v>-1047</v>
      </c>
      <c r="AZ305" s="152"/>
      <c r="BA305" s="152"/>
      <c r="BB305" s="152"/>
      <c r="BC305" s="150">
        <v>68.9</v>
      </c>
      <c r="BD305" s="151">
        <v>198</v>
      </c>
      <c r="BE305" s="151">
        <v>9</v>
      </c>
      <c r="BF305" s="154">
        <v>7828.2184137106415</v>
      </c>
      <c r="BG305" s="146">
        <v>9498</v>
      </c>
      <c r="BH305" s="139">
        <v>6134</v>
      </c>
      <c r="BI305" s="139">
        <v>18480</v>
      </c>
      <c r="BJ305" s="139">
        <v>-12346</v>
      </c>
      <c r="BK305" s="146">
        <v>6850</v>
      </c>
      <c r="BL305" s="146">
        <v>5584</v>
      </c>
      <c r="BM305" s="160"/>
      <c r="BO305" s="138">
        <v>-20</v>
      </c>
      <c r="BP305" s="138">
        <v>216</v>
      </c>
      <c r="BQ305" s="139">
        <v>284</v>
      </c>
      <c r="BR305" s="138">
        <v>661</v>
      </c>
      <c r="BU305" s="139">
        <v>-377</v>
      </c>
      <c r="BV305" s="139">
        <v>13</v>
      </c>
      <c r="BW305" s="139"/>
      <c r="BY305" s="138">
        <v>-364</v>
      </c>
      <c r="BZ305" s="139">
        <v>1962</v>
      </c>
      <c r="CA305" s="139">
        <v>302</v>
      </c>
      <c r="CB305" s="176"/>
      <c r="CC305" s="138">
        <v>134</v>
      </c>
      <c r="CD305" s="151">
        <v>-574</v>
      </c>
      <c r="CE305" s="151">
        <v>-199</v>
      </c>
      <c r="CF305" s="138">
        <v>6850</v>
      </c>
      <c r="CG305" s="139">
        <v>6372</v>
      </c>
      <c r="CH305" s="139">
        <v>190</v>
      </c>
      <c r="CI305" s="139">
        <v>288</v>
      </c>
      <c r="CJ305" s="114">
        <v>20.25</v>
      </c>
      <c r="CK305" s="152"/>
      <c r="CL305" s="138">
        <v>182</v>
      </c>
      <c r="CM305" s="190">
        <v>2483</v>
      </c>
      <c r="CN305" s="146"/>
      <c r="CO305" s="150">
        <v>7.546511627906977</v>
      </c>
      <c r="CP305" s="150">
        <v>22.633097298714922</v>
      </c>
      <c r="CQ305" s="151">
        <v>-838.5018123238018</v>
      </c>
      <c r="CR305" s="152"/>
      <c r="CS305" s="152"/>
      <c r="CT305" s="152"/>
      <c r="CU305" s="150">
        <v>67.42134666274625</v>
      </c>
      <c r="CV305" s="151">
        <v>558.1957309706</v>
      </c>
      <c r="CW305" s="151">
        <v>27.037037037037035</v>
      </c>
      <c r="CX305" s="154">
        <v>7535.642368103101</v>
      </c>
      <c r="CY305" s="146">
        <v>9290</v>
      </c>
      <c r="CZ305" s="139">
        <v>5802</v>
      </c>
      <c r="DA305" s="139">
        <v>18430</v>
      </c>
      <c r="DB305" s="139">
        <v>-12628</v>
      </c>
      <c r="DC305" s="146">
        <v>7507</v>
      </c>
      <c r="DD305" s="146">
        <v>5756</v>
      </c>
      <c r="DE305" s="160"/>
      <c r="DG305" s="138">
        <v>-9</v>
      </c>
      <c r="DH305" s="138">
        <v>11</v>
      </c>
      <c r="DI305" s="139">
        <v>637</v>
      </c>
      <c r="DJ305" s="138">
        <v>677</v>
      </c>
      <c r="DM305" s="139">
        <v>-40</v>
      </c>
      <c r="DN305" s="139">
        <v>13</v>
      </c>
      <c r="DO305" s="139"/>
      <c r="DQ305" s="138">
        <v>-27</v>
      </c>
      <c r="DR305" s="139">
        <v>1935</v>
      </c>
      <c r="DS305" s="139">
        <v>639</v>
      </c>
      <c r="DT305" s="176"/>
      <c r="DU305" s="138">
        <v>72</v>
      </c>
      <c r="DV305" s="151">
        <v>-74</v>
      </c>
      <c r="DW305" s="138">
        <v>499</v>
      </c>
      <c r="DX305" s="138">
        <v>7507</v>
      </c>
      <c r="DY305" s="146">
        <v>6996</v>
      </c>
      <c r="DZ305" s="196">
        <v>221</v>
      </c>
      <c r="EA305" s="146">
        <v>290</v>
      </c>
      <c r="EB305" s="114">
        <v>20.25</v>
      </c>
      <c r="EC305" s="152"/>
      <c r="ED305" s="138">
        <v>168</v>
      </c>
      <c r="EE305" s="138">
        <v>6306</v>
      </c>
      <c r="EF305" s="138">
        <v>6771</v>
      </c>
      <c r="EG305" s="138">
        <v>6994</v>
      </c>
      <c r="EH305" s="138"/>
      <c r="EI305" s="138"/>
      <c r="EJ305" s="138"/>
      <c r="EK305" s="3">
        <v>-634</v>
      </c>
      <c r="EL305" s="138">
        <v>25</v>
      </c>
      <c r="EM305" s="138">
        <v>37</v>
      </c>
      <c r="EN305" s="3">
        <v>-534</v>
      </c>
      <c r="EO305" s="138">
        <v>28</v>
      </c>
      <c r="EP305" s="138">
        <v>5</v>
      </c>
      <c r="EQ305" s="3">
        <v>-187</v>
      </c>
      <c r="ER305" s="138">
        <v>27</v>
      </c>
      <c r="ES305" s="138">
        <v>20</v>
      </c>
      <c r="ET305" s="163"/>
      <c r="EU305" s="163"/>
      <c r="EV305" s="138"/>
      <c r="EW305" s="138">
        <v>200</v>
      </c>
      <c r="EX305" s="138"/>
      <c r="EY305" s="138"/>
      <c r="EZ305" s="138">
        <v>2318</v>
      </c>
      <c r="FA305" s="138">
        <v>1718</v>
      </c>
      <c r="FB305" s="138">
        <v>600</v>
      </c>
      <c r="FC305" s="138">
        <v>263</v>
      </c>
      <c r="FD305" s="138">
        <v>1944</v>
      </c>
      <c r="FE305" s="138">
        <v>1144</v>
      </c>
      <c r="FF305" s="138">
        <v>800</v>
      </c>
      <c r="FG305" s="138">
        <v>260</v>
      </c>
      <c r="FH305" s="138">
        <v>1870</v>
      </c>
      <c r="FI305" s="138">
        <v>1070</v>
      </c>
      <c r="FJ305" s="138">
        <v>800</v>
      </c>
      <c r="FK305" s="138">
        <v>227</v>
      </c>
      <c r="FL305" s="147">
        <v>2197</v>
      </c>
      <c r="FM305" s="147">
        <v>2088.082901554404</v>
      </c>
      <c r="FO305" s="181">
        <f t="shared" si="12"/>
        <v>345.48148148148147</v>
      </c>
      <c r="FP305" s="179">
        <f t="shared" si="14"/>
        <v>139.13873599737474</v>
      </c>
      <c r="FR305" s="184"/>
      <c r="FV305" s="184">
        <v>71</v>
      </c>
      <c r="FW305" s="2">
        <f t="shared" si="13"/>
        <v>-71</v>
      </c>
    </row>
    <row r="306" spans="1:179" ht="12.75">
      <c r="A306" s="82">
        <v>989</v>
      </c>
      <c r="B306" s="80" t="s">
        <v>294</v>
      </c>
      <c r="C306" s="191">
        <v>6412</v>
      </c>
      <c r="D306" s="146"/>
      <c r="E306" s="150">
        <v>0.5145102781136639</v>
      </c>
      <c r="F306" s="150">
        <v>43.7</v>
      </c>
      <c r="G306" s="151">
        <v>-2228</v>
      </c>
      <c r="H306" s="152"/>
      <c r="I306" s="152"/>
      <c r="J306" s="152"/>
      <c r="K306" s="150">
        <v>51.3</v>
      </c>
      <c r="L306" s="151">
        <v>270</v>
      </c>
      <c r="M306" s="151">
        <v>15</v>
      </c>
      <c r="N306" s="154">
        <v>6693.231441048036</v>
      </c>
      <c r="O306" s="146">
        <v>14313</v>
      </c>
      <c r="P306" s="139">
        <v>4501</v>
      </c>
      <c r="Q306" s="139">
        <v>38383</v>
      </c>
      <c r="R306" s="139">
        <v>-33882</v>
      </c>
      <c r="S306" s="146">
        <v>18942</v>
      </c>
      <c r="T306" s="139">
        <v>16270</v>
      </c>
      <c r="U306" s="160"/>
      <c r="W306" s="138">
        <v>-213</v>
      </c>
      <c r="X306" s="138">
        <v>279</v>
      </c>
      <c r="Y306" s="139">
        <v>1396</v>
      </c>
      <c r="Z306" s="138">
        <v>1011</v>
      </c>
      <c r="AC306" s="139">
        <v>385</v>
      </c>
      <c r="AD306" s="139"/>
      <c r="AG306" s="139">
        <v>385</v>
      </c>
      <c r="AH306" s="139">
        <v>-5492</v>
      </c>
      <c r="AI306" s="139">
        <v>1248</v>
      </c>
      <c r="AJ306" s="176"/>
      <c r="AK306" s="138">
        <v>204</v>
      </c>
      <c r="AL306" s="151">
        <v>-3002</v>
      </c>
      <c r="AM306" s="151">
        <v>325</v>
      </c>
      <c r="AN306" s="146">
        <v>18942</v>
      </c>
      <c r="AO306" s="139">
        <v>16197</v>
      </c>
      <c r="AP306" s="139">
        <v>1421</v>
      </c>
      <c r="AQ306" s="139">
        <v>1324</v>
      </c>
      <c r="AR306" s="114">
        <v>20.75</v>
      </c>
      <c r="AS306" s="152"/>
      <c r="AT306" s="138">
        <v>188</v>
      </c>
      <c r="AU306" s="191">
        <v>6363</v>
      </c>
      <c r="AV306" s="146"/>
      <c r="AW306" s="150">
        <v>2.629427792915531</v>
      </c>
      <c r="AX306" s="150">
        <v>44.3</v>
      </c>
      <c r="AY306" s="151">
        <v>-2315</v>
      </c>
      <c r="AZ306" s="152"/>
      <c r="BA306" s="152"/>
      <c r="BB306" s="152"/>
      <c r="BC306" s="150">
        <v>50.4</v>
      </c>
      <c r="BD306" s="151">
        <v>193</v>
      </c>
      <c r="BE306" s="151">
        <v>11</v>
      </c>
      <c r="BF306" s="154">
        <v>6559.32736130756</v>
      </c>
      <c r="BG306" s="146">
        <v>14486</v>
      </c>
      <c r="BH306" s="139">
        <v>5319</v>
      </c>
      <c r="BI306" s="139">
        <v>39648</v>
      </c>
      <c r="BJ306" s="139">
        <v>-34329</v>
      </c>
      <c r="BK306" s="146">
        <v>18851</v>
      </c>
      <c r="BL306" s="146">
        <v>16075</v>
      </c>
      <c r="BM306" s="160"/>
      <c r="BO306" s="138">
        <v>-280</v>
      </c>
      <c r="BP306" s="138">
        <v>282</v>
      </c>
      <c r="BQ306" s="139">
        <v>599</v>
      </c>
      <c r="BR306" s="138">
        <v>1036</v>
      </c>
      <c r="BU306" s="139">
        <v>-437</v>
      </c>
      <c r="BV306" s="139"/>
      <c r="BY306" s="138">
        <v>-437</v>
      </c>
      <c r="BZ306" s="139">
        <v>-5929</v>
      </c>
      <c r="CA306" s="139">
        <v>-193</v>
      </c>
      <c r="CB306" s="176"/>
      <c r="CC306" s="138">
        <v>-525</v>
      </c>
      <c r="CD306" s="151">
        <v>-1</v>
      </c>
      <c r="CE306" s="151">
        <v>-625</v>
      </c>
      <c r="CF306" s="138">
        <v>18851</v>
      </c>
      <c r="CG306" s="139">
        <v>16237</v>
      </c>
      <c r="CH306" s="139">
        <v>1041</v>
      </c>
      <c r="CI306" s="139">
        <v>1573</v>
      </c>
      <c r="CJ306" s="114">
        <v>20.75</v>
      </c>
      <c r="CK306" s="152"/>
      <c r="CL306" s="138">
        <v>193</v>
      </c>
      <c r="CM306" s="190">
        <v>6271</v>
      </c>
      <c r="CN306" s="146"/>
      <c r="CO306" s="150">
        <v>6.214084507042253</v>
      </c>
      <c r="CP306" s="150">
        <v>48.48341119833045</v>
      </c>
      <c r="CQ306" s="151">
        <v>-2643.5975123584753</v>
      </c>
      <c r="CR306" s="152"/>
      <c r="CS306" s="152"/>
      <c r="CT306" s="152"/>
      <c r="CU306" s="150">
        <v>47.880670910376885</v>
      </c>
      <c r="CV306" s="151">
        <v>339.4992824110987</v>
      </c>
      <c r="CW306" s="151">
        <v>17.277770366417645</v>
      </c>
      <c r="CX306" s="154">
        <v>7172.061872109712</v>
      </c>
      <c r="CY306" s="146">
        <v>14822</v>
      </c>
      <c r="CZ306" s="139">
        <v>4981</v>
      </c>
      <c r="DA306" s="139">
        <v>40362</v>
      </c>
      <c r="DB306" s="139">
        <v>-35381</v>
      </c>
      <c r="DC306" s="146">
        <v>20286</v>
      </c>
      <c r="DD306" s="146">
        <v>16900</v>
      </c>
      <c r="DE306" s="160"/>
      <c r="DG306" s="138">
        <v>-291</v>
      </c>
      <c r="DH306" s="138">
        <v>337</v>
      </c>
      <c r="DI306" s="139">
        <v>1851</v>
      </c>
      <c r="DJ306" s="138">
        <v>1247</v>
      </c>
      <c r="DM306" s="139">
        <v>604</v>
      </c>
      <c r="DN306" s="139"/>
      <c r="DQ306" s="138">
        <v>604</v>
      </c>
      <c r="DR306" s="139">
        <v>-5325</v>
      </c>
      <c r="DS306" s="139">
        <v>1677</v>
      </c>
      <c r="DT306" s="176"/>
      <c r="DU306" s="138">
        <v>130</v>
      </c>
      <c r="DV306" s="151">
        <v>0</v>
      </c>
      <c r="DW306" s="138">
        <v>-633</v>
      </c>
      <c r="DX306" s="138">
        <v>20286</v>
      </c>
      <c r="DY306" s="146">
        <v>17562</v>
      </c>
      <c r="DZ306" s="196">
        <v>1080</v>
      </c>
      <c r="EA306" s="146">
        <v>1644</v>
      </c>
      <c r="EB306" s="114">
        <v>21.25</v>
      </c>
      <c r="EC306" s="152"/>
      <c r="ED306" s="138">
        <v>147</v>
      </c>
      <c r="EE306" s="138">
        <v>20110</v>
      </c>
      <c r="EF306" s="138">
        <v>20857</v>
      </c>
      <c r="EG306" s="138">
        <v>21085</v>
      </c>
      <c r="EH306" s="138">
        <v>500</v>
      </c>
      <c r="EI306" s="138"/>
      <c r="EJ306" s="138">
        <v>500</v>
      </c>
      <c r="EK306" s="3">
        <v>-1215</v>
      </c>
      <c r="EL306" s="138"/>
      <c r="EM306" s="138">
        <v>292</v>
      </c>
      <c r="EN306" s="3">
        <v>-1711</v>
      </c>
      <c r="EO306" s="138">
        <v>322</v>
      </c>
      <c r="EP306" s="138">
        <v>957</v>
      </c>
      <c r="EQ306" s="3">
        <v>-2788</v>
      </c>
      <c r="ER306" s="138">
        <v>111</v>
      </c>
      <c r="ES306" s="138">
        <v>367</v>
      </c>
      <c r="ET306" s="163">
        <v>10000</v>
      </c>
      <c r="EU306" s="163">
        <v>-7600</v>
      </c>
      <c r="EV306" s="138"/>
      <c r="EW306" s="138">
        <v>200</v>
      </c>
      <c r="EX306" s="138"/>
      <c r="EY306" s="138">
        <v>2800</v>
      </c>
      <c r="EZ306" s="138">
        <v>13201</v>
      </c>
      <c r="FA306" s="138">
        <v>10000</v>
      </c>
      <c r="FB306" s="138">
        <v>3201</v>
      </c>
      <c r="FC306" s="138">
        <v>3370</v>
      </c>
      <c r="FD306" s="138">
        <v>13400</v>
      </c>
      <c r="FE306" s="138">
        <v>10000</v>
      </c>
      <c r="FF306" s="138">
        <v>3400</v>
      </c>
      <c r="FG306" s="138">
        <v>3202</v>
      </c>
      <c r="FH306" s="138">
        <v>16200</v>
      </c>
      <c r="FI306" s="138">
        <v>10000</v>
      </c>
      <c r="FJ306" s="138">
        <v>6200</v>
      </c>
      <c r="FK306" s="138">
        <v>4397</v>
      </c>
      <c r="FL306" s="147">
        <v>5694</v>
      </c>
      <c r="FM306" s="147">
        <v>6059.091623448059</v>
      </c>
      <c r="FO306" s="181">
        <f t="shared" si="12"/>
        <v>826.4470588235295</v>
      </c>
      <c r="FP306" s="179">
        <f t="shared" si="14"/>
        <v>131.78871931486677</v>
      </c>
      <c r="FR306" s="184"/>
      <c r="FV306" s="184">
        <v>3002</v>
      </c>
      <c r="FW306" s="2">
        <f t="shared" si="13"/>
        <v>-3002</v>
      </c>
    </row>
    <row r="307" spans="1:179" ht="12.75">
      <c r="A307" s="82">
        <v>992</v>
      </c>
      <c r="B307" s="80" t="s">
        <v>295</v>
      </c>
      <c r="C307" s="191">
        <v>20334</v>
      </c>
      <c r="D307" s="146"/>
      <c r="E307" s="150">
        <v>0.15714616096207215</v>
      </c>
      <c r="F307" s="150">
        <v>51.6</v>
      </c>
      <c r="G307" s="151">
        <v>-2672</v>
      </c>
      <c r="H307" s="152"/>
      <c r="I307" s="152"/>
      <c r="J307" s="152"/>
      <c r="K307" s="150">
        <v>54.3</v>
      </c>
      <c r="L307" s="151">
        <v>85</v>
      </c>
      <c r="M307" s="151">
        <v>5</v>
      </c>
      <c r="N307" s="154">
        <v>6815.579817055179</v>
      </c>
      <c r="O307" s="146">
        <v>57147</v>
      </c>
      <c r="P307" s="139">
        <v>18293</v>
      </c>
      <c r="Q307" s="139">
        <v>116658</v>
      </c>
      <c r="R307" s="139">
        <v>-98365</v>
      </c>
      <c r="S307" s="146">
        <v>62706</v>
      </c>
      <c r="T307" s="139">
        <v>35475</v>
      </c>
      <c r="U307" s="160"/>
      <c r="W307" s="138">
        <v>368</v>
      </c>
      <c r="X307" s="138">
        <v>377</v>
      </c>
      <c r="Y307" s="139">
        <v>561</v>
      </c>
      <c r="Z307" s="138">
        <v>4960</v>
      </c>
      <c r="AC307" s="139">
        <v>-4399</v>
      </c>
      <c r="AD307" s="138">
        <v>20</v>
      </c>
      <c r="AG307" s="139">
        <v>-4379</v>
      </c>
      <c r="AH307" s="139">
        <v>-7315</v>
      </c>
      <c r="AI307" s="139">
        <v>-249</v>
      </c>
      <c r="AJ307" s="176"/>
      <c r="AK307" s="139">
        <v>367</v>
      </c>
      <c r="AL307" s="151">
        <v>-7850</v>
      </c>
      <c r="AM307" s="151">
        <v>-10870</v>
      </c>
      <c r="AN307" s="146">
        <v>62706</v>
      </c>
      <c r="AO307" s="139">
        <v>55322</v>
      </c>
      <c r="AP307" s="139">
        <v>3938</v>
      </c>
      <c r="AQ307" s="139">
        <v>3446</v>
      </c>
      <c r="AR307" s="114">
        <v>20.5</v>
      </c>
      <c r="AS307" s="152"/>
      <c r="AT307" s="138">
        <v>276</v>
      </c>
      <c r="AU307" s="191">
        <v>20265</v>
      </c>
      <c r="AV307" s="146"/>
      <c r="AW307" s="150">
        <v>0.45387755102040817</v>
      </c>
      <c r="AX307" s="150">
        <v>62.1</v>
      </c>
      <c r="AY307" s="151">
        <v>-3311</v>
      </c>
      <c r="AZ307" s="152"/>
      <c r="BA307" s="152"/>
      <c r="BB307" s="152"/>
      <c r="BC307" s="150">
        <v>47.4</v>
      </c>
      <c r="BD307" s="151">
        <v>238</v>
      </c>
      <c r="BE307" s="151">
        <v>12</v>
      </c>
      <c r="BF307" s="154">
        <v>7358.154453491241</v>
      </c>
      <c r="BG307" s="146">
        <v>58743</v>
      </c>
      <c r="BH307" s="139">
        <v>18508</v>
      </c>
      <c r="BI307" s="139">
        <v>120010</v>
      </c>
      <c r="BJ307" s="139">
        <v>-101502</v>
      </c>
      <c r="BK307" s="146">
        <v>66243</v>
      </c>
      <c r="BL307" s="146">
        <v>38365</v>
      </c>
      <c r="BM307" s="160"/>
      <c r="BO307" s="138">
        <v>147</v>
      </c>
      <c r="BP307" s="138">
        <v>216</v>
      </c>
      <c r="BQ307" s="139">
        <v>3469</v>
      </c>
      <c r="BR307" s="138">
        <v>5821</v>
      </c>
      <c r="BU307" s="139">
        <v>-2352</v>
      </c>
      <c r="BV307" s="138">
        <v>20</v>
      </c>
      <c r="BY307" s="138">
        <v>-2332</v>
      </c>
      <c r="BZ307" s="139">
        <v>-9647</v>
      </c>
      <c r="CA307" s="139">
        <v>2132</v>
      </c>
      <c r="CB307" s="176"/>
      <c r="CC307" s="139">
        <v>-546</v>
      </c>
      <c r="CD307" s="151">
        <v>-8821</v>
      </c>
      <c r="CE307" s="151">
        <v>-10256</v>
      </c>
      <c r="CF307" s="138">
        <v>66243</v>
      </c>
      <c r="CG307" s="139">
        <v>58218</v>
      </c>
      <c r="CH307" s="139">
        <v>4446</v>
      </c>
      <c r="CI307" s="139">
        <v>3579</v>
      </c>
      <c r="CJ307" s="114">
        <v>21</v>
      </c>
      <c r="CK307" s="152"/>
      <c r="CL307" s="138">
        <v>139</v>
      </c>
      <c r="CM307" s="190">
        <v>20077</v>
      </c>
      <c r="CN307" s="146"/>
      <c r="CO307" s="150">
        <v>0.7997712677047594</v>
      </c>
      <c r="CP307" s="150">
        <v>67.32048049603522</v>
      </c>
      <c r="CQ307" s="151">
        <v>-3905.513771977885</v>
      </c>
      <c r="CR307" s="152"/>
      <c r="CS307" s="152"/>
      <c r="CT307" s="152"/>
      <c r="CU307" s="150">
        <v>44.67374753500911</v>
      </c>
      <c r="CV307" s="151">
        <v>239.3285849479504</v>
      </c>
      <c r="CW307" s="151">
        <v>11.285512049161868</v>
      </c>
      <c r="CX307" s="154">
        <v>7740.449270309309</v>
      </c>
      <c r="CY307" s="146">
        <v>57071</v>
      </c>
      <c r="CZ307" s="139">
        <v>17586</v>
      </c>
      <c r="DA307" s="139">
        <v>123882</v>
      </c>
      <c r="DB307" s="139">
        <v>-106296</v>
      </c>
      <c r="DC307" s="146">
        <v>71872</v>
      </c>
      <c r="DD307" s="146">
        <v>41855</v>
      </c>
      <c r="DE307" s="160"/>
      <c r="DG307" s="138">
        <v>173</v>
      </c>
      <c r="DH307" s="138">
        <v>510</v>
      </c>
      <c r="DI307" s="139">
        <v>8114</v>
      </c>
      <c r="DJ307" s="138">
        <v>5737</v>
      </c>
      <c r="DM307" s="139">
        <v>2377</v>
      </c>
      <c r="DN307" s="138">
        <v>20</v>
      </c>
      <c r="DQ307" s="138">
        <v>2397</v>
      </c>
      <c r="DR307" s="139">
        <v>-7250</v>
      </c>
      <c r="DS307" s="139">
        <v>7661</v>
      </c>
      <c r="DT307" s="176"/>
      <c r="DU307" s="139">
        <v>-724</v>
      </c>
      <c r="DV307" s="151">
        <v>-10390</v>
      </c>
      <c r="DW307" s="138">
        <v>-11289</v>
      </c>
      <c r="DX307" s="138">
        <v>71872</v>
      </c>
      <c r="DY307" s="146">
        <v>60870</v>
      </c>
      <c r="DZ307" s="196">
        <v>7628</v>
      </c>
      <c r="EA307" s="146">
        <v>3374</v>
      </c>
      <c r="EB307" s="114">
        <v>21</v>
      </c>
      <c r="EC307" s="152"/>
      <c r="ED307" s="138">
        <v>85</v>
      </c>
      <c r="EE307" s="138">
        <v>41903</v>
      </c>
      <c r="EF307" s="138">
        <v>43768</v>
      </c>
      <c r="EG307" s="138">
        <v>50071</v>
      </c>
      <c r="EH307" s="138"/>
      <c r="EI307" s="138">
        <v>900</v>
      </c>
      <c r="EJ307" s="138"/>
      <c r="EK307" s="3">
        <v>-13466</v>
      </c>
      <c r="EL307" s="138">
        <v>1762</v>
      </c>
      <c r="EM307" s="138">
        <v>1083</v>
      </c>
      <c r="EN307" s="3">
        <v>-16593</v>
      </c>
      <c r="EO307" s="138">
        <v>1074</v>
      </c>
      <c r="EP307" s="138">
        <v>3131</v>
      </c>
      <c r="EQ307" s="3">
        <v>-20178</v>
      </c>
      <c r="ER307" s="138">
        <v>499</v>
      </c>
      <c r="ES307" s="138">
        <v>729</v>
      </c>
      <c r="ET307" s="163">
        <v>11500</v>
      </c>
      <c r="EU307" s="163"/>
      <c r="EV307" s="138">
        <v>10000</v>
      </c>
      <c r="EW307" s="138">
        <v>13500</v>
      </c>
      <c r="EX307" s="138">
        <v>15000</v>
      </c>
      <c r="EY307" s="138">
        <v>8000</v>
      </c>
      <c r="EZ307" s="138">
        <v>44637</v>
      </c>
      <c r="FA307" s="138">
        <v>36880</v>
      </c>
      <c r="FB307" s="138">
        <v>7757</v>
      </c>
      <c r="FC307" s="138">
        <v>22545</v>
      </c>
      <c r="FD307" s="138">
        <v>59317</v>
      </c>
      <c r="FE307" s="138">
        <v>36364</v>
      </c>
      <c r="FF307" s="138">
        <v>22953</v>
      </c>
      <c r="FG307" s="138">
        <v>25038</v>
      </c>
      <c r="FH307" s="138">
        <v>71926</v>
      </c>
      <c r="FI307" s="138">
        <v>36223</v>
      </c>
      <c r="FJ307" s="138">
        <v>35703</v>
      </c>
      <c r="FK307" s="138">
        <v>24998</v>
      </c>
      <c r="FL307" s="147">
        <v>4252</v>
      </c>
      <c r="FM307" s="147">
        <v>6296.915864791513</v>
      </c>
      <c r="FO307" s="181">
        <f t="shared" si="12"/>
        <v>2898.5714285714284</v>
      </c>
      <c r="FP307" s="179">
        <f t="shared" si="14"/>
        <v>144.3727363934566</v>
      </c>
      <c r="FR307" s="184"/>
      <c r="FV307" s="184">
        <v>7850</v>
      </c>
      <c r="FW307" s="2">
        <f>FV307*-1</f>
        <v>-7850</v>
      </c>
    </row>
    <row r="308" spans="135:172" ht="15.75">
      <c r="EE308" s="138"/>
      <c r="EG308" s="142"/>
      <c r="EM308" s="145"/>
      <c r="EP308" s="138"/>
      <c r="ES308" s="142"/>
      <c r="EU308" s="163"/>
      <c r="EY308" s="138"/>
      <c r="FK308" s="142"/>
      <c r="FL308" s="164"/>
      <c r="FM308" s="147"/>
      <c r="FO308" s="3"/>
      <c r="FP308"/>
    </row>
    <row r="309" spans="135:170" ht="15.75">
      <c r="EE309" s="138"/>
      <c r="FN309" s="180"/>
    </row>
    <row r="310" ht="15.75">
      <c r="EE310" s="138"/>
    </row>
    <row r="311" ht="15.75">
      <c r="EE311" s="138"/>
    </row>
    <row r="312" ht="15.75">
      <c r="EE312" s="138"/>
    </row>
    <row r="313" ht="15.75">
      <c r="EE313" s="138"/>
    </row>
    <row r="314" ht="15.75">
      <c r="EE314" s="138"/>
    </row>
    <row r="315" ht="15.75">
      <c r="EE315" s="138"/>
    </row>
    <row r="316" ht="15.75">
      <c r="EE316" s="138"/>
    </row>
    <row r="317" ht="15.75">
      <c r="EE317" s="138"/>
    </row>
    <row r="318" ht="15.75">
      <c r="EE318" s="138"/>
    </row>
    <row r="319" ht="15.75">
      <c r="EE319" s="138"/>
    </row>
    <row r="320" ht="15.75">
      <c r="EE320" s="138"/>
    </row>
    <row r="321" ht="15.75">
      <c r="EE321" s="138"/>
    </row>
    <row r="322" ht="15.75">
      <c r="EE322" s="138"/>
    </row>
    <row r="323" ht="15.75">
      <c r="EE323" s="138"/>
    </row>
    <row r="324" ht="15.75">
      <c r="EE324" s="138"/>
    </row>
    <row r="325" ht="15.75">
      <c r="EE325" s="138"/>
    </row>
    <row r="326" ht="15.75">
      <c r="EE326" s="138"/>
    </row>
    <row r="327" ht="15.75">
      <c r="EE327" s="138"/>
    </row>
    <row r="328" ht="15.75">
      <c r="EE328" s="13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vmseppak</cp:lastModifiedBy>
  <cp:lastPrinted>2014-06-04T07:12:50Z</cp:lastPrinted>
  <dcterms:created xsi:type="dcterms:W3CDTF">1998-06-16T10:21:51Z</dcterms:created>
  <dcterms:modified xsi:type="dcterms:W3CDTF">2014-10-06T08:55:51Z</dcterms:modified>
  <cp:category/>
  <cp:version/>
  <cp:contentType/>
  <cp:contentStatus/>
</cp:coreProperties>
</file>