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5/JULKAISU 18.12.2025/"/>
    </mc:Choice>
  </mc:AlternateContent>
  <xr:revisionPtr revIDLastSave="2008" documentId="13_ncr:1_{DA3ECA5D-5745-49E0-BB90-DE40BF8D74B6}" xr6:coauthVersionLast="47" xr6:coauthVersionMax="47" xr10:uidLastSave="{64641026-D343-4BC6-8782-753D9B3EE902}"/>
  <bookViews>
    <workbookView xWindow="28680" yWindow="-120" windowWidth="29040" windowHeight="15720" tabRatio="727" xr2:uid="{00000000-000D-0000-FFFF-FFFF00000000}"/>
  </bookViews>
  <sheets>
    <sheet name="INFO" sheetId="29" r:id="rId1"/>
    <sheet name="Yhteenveto" sheetId="31" r:id="rId2"/>
    <sheet name="Rahoituksen taso 2026" sheetId="10" r:id="rId3"/>
    <sheet name="Jälkikäteistarkistus 2026" sheetId="20" r:id="rId4"/>
    <sheet name="SOTE laskennallinen rahoitus" sheetId="28" r:id="rId5"/>
    <sheet name="PELA laskennallinen rahoitus" sheetId="14" r:id="rId6"/>
    <sheet name="Hyte-kerroin" sheetId="30" r:id="rId7"/>
    <sheet name="Tarvekertoimet" sheetId="16" r:id="rId8"/>
    <sheet name="Määräytymistekijät" sheetId="15" r:id="rId9"/>
    <sheet name="Tarvetekijät" sheetId="18" r:id="rId10"/>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0" l="1"/>
  <c r="C34" i="31"/>
  <c r="H13" i="31"/>
  <c r="H7" i="31"/>
  <c r="H29" i="31" l="1"/>
  <c r="H28" i="31"/>
  <c r="H8" i="31"/>
  <c r="H9" i="31"/>
  <c r="H10" i="31"/>
  <c r="H11" i="31"/>
  <c r="H12" i="31"/>
  <c r="H14" i="31"/>
  <c r="H15" i="31"/>
  <c r="H16" i="31"/>
  <c r="H17" i="31"/>
  <c r="H18" i="31"/>
  <c r="H19" i="31"/>
  <c r="H20" i="31"/>
  <c r="H21" i="31"/>
  <c r="H22" i="31"/>
  <c r="H23" i="31"/>
  <c r="H24" i="31"/>
  <c r="H25" i="31"/>
  <c r="H26" i="31"/>
  <c r="H27" i="31"/>
  <c r="B8" i="14"/>
  <c r="B8" i="28"/>
  <c r="N20" i="28" l="1"/>
  <c r="J35" i="15" l="1"/>
  <c r="K35" i="15" s="1"/>
  <c r="B36" i="10"/>
  <c r="B37" i="10"/>
  <c r="B21" i="10" l="1"/>
  <c r="B20" i="10"/>
  <c r="B42" i="10"/>
  <c r="B14" i="10" l="1"/>
  <c r="D42" i="20" l="1"/>
  <c r="D32" i="20"/>
  <c r="D17" i="14" l="1"/>
  <c r="C17" i="14"/>
  <c r="C26" i="20"/>
  <c r="C25" i="20"/>
  <c r="C24" i="20"/>
  <c r="D33" i="20"/>
  <c r="B10" i="28" l="1"/>
  <c r="B11" i="28"/>
  <c r="B12" i="28"/>
  <c r="E16" i="14"/>
  <c r="G29" i="30" l="1"/>
  <c r="D7" i="30" l="1"/>
  <c r="E8" i="16" l="1"/>
  <c r="D29" i="16"/>
  <c r="D8" i="16"/>
  <c r="C13" i="20" l="1"/>
  <c r="D9" i="16"/>
  <c r="E9" i="16"/>
  <c r="F9" i="16"/>
  <c r="D10" i="16"/>
  <c r="E10" i="16"/>
  <c r="F10" i="16"/>
  <c r="D11" i="16"/>
  <c r="E11" i="16"/>
  <c r="F11" i="16"/>
  <c r="D12" i="16"/>
  <c r="E12" i="16"/>
  <c r="F12" i="16"/>
  <c r="D13" i="16"/>
  <c r="E13" i="16"/>
  <c r="F13" i="16"/>
  <c r="D14" i="16"/>
  <c r="E14" i="16"/>
  <c r="F14" i="16"/>
  <c r="D15" i="16"/>
  <c r="E15" i="16"/>
  <c r="F15" i="16"/>
  <c r="D16" i="16"/>
  <c r="E16" i="16"/>
  <c r="F16" i="16"/>
  <c r="D17" i="16"/>
  <c r="E17" i="16"/>
  <c r="F17" i="16"/>
  <c r="D18" i="16"/>
  <c r="E18" i="16"/>
  <c r="F18" i="16"/>
  <c r="D19" i="16"/>
  <c r="E19" i="16"/>
  <c r="F19" i="16"/>
  <c r="D20" i="16"/>
  <c r="E20" i="16"/>
  <c r="F20" i="16"/>
  <c r="D21" i="16"/>
  <c r="E21" i="16"/>
  <c r="F21" i="16"/>
  <c r="D22" i="16"/>
  <c r="E22" i="16"/>
  <c r="F22" i="16"/>
  <c r="D23" i="16"/>
  <c r="E23" i="16"/>
  <c r="F23" i="16"/>
  <c r="D24" i="16"/>
  <c r="E24" i="16"/>
  <c r="F24" i="16"/>
  <c r="D25" i="16"/>
  <c r="E25" i="16"/>
  <c r="F25" i="16"/>
  <c r="D26" i="16"/>
  <c r="E26" i="16"/>
  <c r="F26" i="16"/>
  <c r="D27" i="16"/>
  <c r="E27" i="16"/>
  <c r="F27" i="16"/>
  <c r="D28" i="16"/>
  <c r="E28" i="16"/>
  <c r="F28" i="16"/>
  <c r="E29" i="16"/>
  <c r="F29" i="16"/>
  <c r="F8" i="16"/>
  <c r="D43" i="20" l="1"/>
  <c r="A2" i="15" l="1"/>
  <c r="A2" i="16"/>
  <c r="A2" i="30"/>
  <c r="A2" i="14"/>
  <c r="A2" i="28"/>
  <c r="A2" i="20"/>
  <c r="A2" i="10"/>
  <c r="A2" i="31"/>
  <c r="E13" i="20" l="1"/>
  <c r="D8" i="30" l="1"/>
  <c r="E8" i="30"/>
  <c r="D9" i="30"/>
  <c r="E9" i="30"/>
  <c r="D10" i="30"/>
  <c r="E10" i="30"/>
  <c r="D11" i="30"/>
  <c r="E11" i="30"/>
  <c r="D12" i="30"/>
  <c r="E12" i="30"/>
  <c r="D13" i="30"/>
  <c r="E13" i="30"/>
  <c r="D14" i="30"/>
  <c r="E14" i="30"/>
  <c r="D15" i="30"/>
  <c r="E15" i="30"/>
  <c r="D16" i="30"/>
  <c r="E16" i="30"/>
  <c r="D17" i="30"/>
  <c r="E17" i="30"/>
  <c r="D18" i="30"/>
  <c r="E18" i="30"/>
  <c r="D19" i="30"/>
  <c r="E19" i="30"/>
  <c r="D20" i="30"/>
  <c r="E20" i="30"/>
  <c r="D21" i="30"/>
  <c r="E21" i="30"/>
  <c r="D22" i="30"/>
  <c r="E22" i="30"/>
  <c r="D23" i="30"/>
  <c r="E23" i="30"/>
  <c r="D24" i="30"/>
  <c r="E24" i="30"/>
  <c r="D25" i="30"/>
  <c r="E25" i="30"/>
  <c r="D26" i="30"/>
  <c r="E26" i="30"/>
  <c r="D27" i="30"/>
  <c r="E27" i="30"/>
  <c r="D28" i="30"/>
  <c r="E28" i="30"/>
  <c r="E7" i="30"/>
  <c r="F7" i="30"/>
  <c r="F27" i="30" l="1"/>
  <c r="F25" i="30"/>
  <c r="F9" i="30"/>
  <c r="F11" i="30"/>
  <c r="F15" i="30"/>
  <c r="F26" i="30"/>
  <c r="F21" i="30"/>
  <c r="F8" i="30"/>
  <c r="F29" i="30" s="1"/>
  <c r="F20" i="30"/>
  <c r="F14" i="30"/>
  <c r="F19" i="30"/>
  <c r="F12" i="30"/>
  <c r="F18" i="30"/>
  <c r="F10" i="30"/>
  <c r="F23" i="30"/>
  <c r="F28" i="30"/>
  <c r="F16" i="30"/>
  <c r="F13" i="30"/>
  <c r="F24" i="30"/>
  <c r="F17" i="30"/>
  <c r="F22" i="30"/>
  <c r="J49" i="28" l="1"/>
  <c r="H49" i="28"/>
  <c r="L48" i="28"/>
  <c r="J48" i="28"/>
  <c r="H48" i="28"/>
  <c r="L47" i="28"/>
  <c r="J47" i="28"/>
  <c r="H47" i="28"/>
  <c r="L46" i="28"/>
  <c r="J46" i="28"/>
  <c r="L45" i="28"/>
  <c r="J45" i="28"/>
  <c r="L44" i="28"/>
  <c r="J44" i="28"/>
  <c r="H44" i="28"/>
  <c r="L43" i="28"/>
  <c r="J43" i="28"/>
  <c r="H43" i="28"/>
  <c r="L42" i="28"/>
  <c r="J42" i="28"/>
  <c r="H42" i="28"/>
  <c r="L41" i="28"/>
  <c r="J41" i="28"/>
  <c r="H41" i="28"/>
  <c r="L40" i="28"/>
  <c r="J40" i="28"/>
  <c r="H40" i="28"/>
  <c r="L39" i="28"/>
  <c r="J39" i="28"/>
  <c r="H39" i="28"/>
  <c r="L38" i="28"/>
  <c r="J38" i="28"/>
  <c r="L37" i="28"/>
  <c r="J37" i="28"/>
  <c r="H37" i="28"/>
  <c r="L36" i="28"/>
  <c r="J36" i="28"/>
  <c r="H36" i="28"/>
  <c r="L35" i="28"/>
  <c r="J35" i="28"/>
  <c r="H35" i="28"/>
  <c r="L34" i="28"/>
  <c r="J34" i="28"/>
  <c r="H34" i="28"/>
  <c r="L33" i="28"/>
  <c r="J33" i="28"/>
  <c r="L32" i="28"/>
  <c r="J32" i="28"/>
  <c r="H32" i="28"/>
  <c r="L31" i="28"/>
  <c r="J31" i="28"/>
  <c r="L30" i="28"/>
  <c r="J30" i="28"/>
  <c r="L29" i="28"/>
  <c r="J29" i="28"/>
  <c r="L28" i="28"/>
  <c r="J28" i="28"/>
  <c r="G29" i="28" l="1"/>
  <c r="G30" i="28"/>
  <c r="G31" i="28"/>
  <c r="G32" i="28"/>
  <c r="G33" i="28"/>
  <c r="G34" i="28"/>
  <c r="G35" i="28"/>
  <c r="G36" i="28"/>
  <c r="G37" i="28"/>
  <c r="G38" i="28"/>
  <c r="G39" i="28"/>
  <c r="G40" i="28"/>
  <c r="G41" i="28"/>
  <c r="G42" i="28"/>
  <c r="G43" i="28"/>
  <c r="G44" i="28"/>
  <c r="G45" i="28"/>
  <c r="G46" i="28"/>
  <c r="G47" i="28"/>
  <c r="G48" i="28"/>
  <c r="G49" i="28"/>
  <c r="G28" i="28"/>
  <c r="L49" i="28"/>
  <c r="H46" i="28"/>
  <c r="H45" i="28"/>
  <c r="H38" i="28"/>
  <c r="H33" i="28"/>
  <c r="H31" i="28"/>
  <c r="H30" i="28"/>
  <c r="H29" i="28"/>
  <c r="H28" i="28"/>
  <c r="C14" i="31" l="1"/>
  <c r="C14" i="30"/>
  <c r="C35" i="28"/>
  <c r="C25" i="31"/>
  <c r="C25" i="30"/>
  <c r="C46" i="28"/>
  <c r="C13" i="31"/>
  <c r="C13" i="30"/>
  <c r="C34" i="28"/>
  <c r="C11" i="31"/>
  <c r="C11" i="30"/>
  <c r="C32" i="28"/>
  <c r="C22" i="31"/>
  <c r="C22" i="30"/>
  <c r="C43" i="28"/>
  <c r="C24" i="31"/>
  <c r="C24" i="30"/>
  <c r="C45" i="28"/>
  <c r="C10" i="31"/>
  <c r="C10" i="30"/>
  <c r="C31" i="28"/>
  <c r="C21" i="31"/>
  <c r="C21" i="30"/>
  <c r="C42" i="28"/>
  <c r="C9" i="31"/>
  <c r="C9" i="30"/>
  <c r="C30" i="28"/>
  <c r="C20" i="31"/>
  <c r="C20" i="30"/>
  <c r="C41" i="28"/>
  <c r="C8" i="31"/>
  <c r="C8" i="30"/>
  <c r="C29" i="28"/>
  <c r="C18" i="31"/>
  <c r="C18" i="30"/>
  <c r="C39" i="28"/>
  <c r="C12" i="31"/>
  <c r="C12" i="30"/>
  <c r="C33" i="28"/>
  <c r="C23" i="31"/>
  <c r="C23" i="30"/>
  <c r="C44" i="28"/>
  <c r="C28" i="28"/>
  <c r="C7" i="31"/>
  <c r="C7" i="30"/>
  <c r="C29" i="31"/>
  <c r="B7" i="28"/>
  <c r="C50" i="28"/>
  <c r="C17" i="31"/>
  <c r="C17" i="30"/>
  <c r="C38" i="28"/>
  <c r="C26" i="31"/>
  <c r="C26" i="30"/>
  <c r="C47" i="28"/>
  <c r="C19" i="31"/>
  <c r="C19" i="30"/>
  <c r="C40" i="28"/>
  <c r="C28" i="31"/>
  <c r="C28" i="30"/>
  <c r="C49" i="28"/>
  <c r="C16" i="31"/>
  <c r="C16" i="30"/>
  <c r="C37" i="28"/>
  <c r="C27" i="31"/>
  <c r="C27" i="30"/>
  <c r="C48" i="28"/>
  <c r="C15" i="31"/>
  <c r="C15" i="30"/>
  <c r="C36" i="28"/>
  <c r="B12" i="10"/>
  <c r="B13" i="10" l="1"/>
  <c r="M32" i="28"/>
  <c r="M36" i="28"/>
  <c r="M29" i="28"/>
  <c r="M31" i="28"/>
  <c r="M28" i="28"/>
  <c r="M47" i="28"/>
  <c r="M41" i="28"/>
  <c r="M33" i="28"/>
  <c r="M30" i="28"/>
  <c r="C29" i="30"/>
  <c r="F30" i="30" s="1"/>
  <c r="F11" i="10"/>
  <c r="B50" i="10" l="1"/>
  <c r="B41" i="10"/>
  <c r="M50" i="28"/>
  <c r="G26" i="30"/>
  <c r="K47" i="28" s="1"/>
  <c r="G25" i="30"/>
  <c r="K46" i="28" s="1"/>
  <c r="G27" i="30"/>
  <c r="K48" i="28" s="1"/>
  <c r="G15" i="30"/>
  <c r="K36" i="28" s="1"/>
  <c r="G9" i="30"/>
  <c r="K30" i="28" s="1"/>
  <c r="G11" i="30"/>
  <c r="K32" i="28" s="1"/>
  <c r="G7" i="30"/>
  <c r="K28" i="28" s="1"/>
  <c r="G21" i="30"/>
  <c r="K42" i="28" s="1"/>
  <c r="G8" i="30"/>
  <c r="K29" i="28" s="1"/>
  <c r="G23" i="30"/>
  <c r="K44" i="28" s="1"/>
  <c r="G16" i="30"/>
  <c r="K37" i="28" s="1"/>
  <c r="G28" i="30"/>
  <c r="K49" i="28" s="1"/>
  <c r="G10" i="30"/>
  <c r="K31" i="28" s="1"/>
  <c r="G18" i="30"/>
  <c r="K39" i="28" s="1"/>
  <c r="G22" i="30"/>
  <c r="K43" i="28" s="1"/>
  <c r="G17" i="30"/>
  <c r="K38" i="28" s="1"/>
  <c r="G24" i="30"/>
  <c r="K45" i="28" s="1"/>
  <c r="G20" i="30"/>
  <c r="K41" i="28" s="1"/>
  <c r="G19" i="30"/>
  <c r="K40" i="28" s="1"/>
  <c r="G12" i="30"/>
  <c r="K33" i="28" s="1"/>
  <c r="G14" i="30"/>
  <c r="K35" i="28" s="1"/>
  <c r="G13" i="30"/>
  <c r="K34" i="28" s="1"/>
  <c r="J36" i="15"/>
  <c r="J37" i="15"/>
  <c r="J38" i="15"/>
  <c r="J39" i="15"/>
  <c r="J40" i="15"/>
  <c r="J41" i="15"/>
  <c r="J42" i="15"/>
  <c r="J43" i="15"/>
  <c r="J44" i="15"/>
  <c r="J45" i="15"/>
  <c r="J46" i="15"/>
  <c r="J47" i="15"/>
  <c r="J48" i="15"/>
  <c r="J49" i="15"/>
  <c r="J50" i="15"/>
  <c r="J51" i="15"/>
  <c r="J52" i="15"/>
  <c r="J53" i="15"/>
  <c r="J54" i="15"/>
  <c r="J55" i="15"/>
  <c r="J56" i="15"/>
  <c r="J57" i="15" l="1"/>
  <c r="H9" i="15" l="1"/>
  <c r="H10" i="15"/>
  <c r="H11" i="15"/>
  <c r="H12" i="15"/>
  <c r="H13" i="15"/>
  <c r="H14" i="15"/>
  <c r="H15" i="15"/>
  <c r="H16" i="15"/>
  <c r="H17" i="15"/>
  <c r="H18" i="15"/>
  <c r="H19" i="15"/>
  <c r="H20" i="15"/>
  <c r="H21" i="15"/>
  <c r="H22" i="15"/>
  <c r="H23" i="15"/>
  <c r="H24" i="15"/>
  <c r="H25" i="15"/>
  <c r="H26" i="15"/>
  <c r="H27" i="15"/>
  <c r="H28" i="15"/>
  <c r="H29" i="15"/>
  <c r="G50" i="28" l="1"/>
  <c r="L50" i="28"/>
  <c r="H50" i="28"/>
  <c r="J50" i="28"/>
  <c r="D13" i="20" l="1"/>
  <c r="D39" i="20" l="1"/>
  <c r="D29" i="20"/>
  <c r="D40" i="20"/>
  <c r="D30" i="20" l="1"/>
  <c r="D35" i="20"/>
  <c r="D36" i="20" s="1"/>
  <c r="E39" i="20"/>
  <c r="E29" i="20"/>
  <c r="D45" i="20"/>
  <c r="D46" i="20" s="1"/>
  <c r="E40" i="20" l="1"/>
  <c r="E42" i="20"/>
  <c r="E32" i="20"/>
  <c r="E33" i="20" s="1"/>
  <c r="E30" i="20"/>
  <c r="E43" i="20" l="1"/>
  <c r="E46" i="20" s="1"/>
  <c r="E36" i="20"/>
  <c r="E35" i="20"/>
  <c r="E45" i="20"/>
  <c r="B51" i="10" l="1"/>
  <c r="B17" i="10" s="1"/>
  <c r="E48" i="20"/>
  <c r="B22" i="10"/>
  <c r="H30" i="15"/>
  <c r="I30" i="15" s="1"/>
  <c r="I50" i="28" s="1"/>
  <c r="C9" i="16" l="1"/>
  <c r="C10" i="16"/>
  <c r="C11" i="16"/>
  <c r="C12" i="16"/>
  <c r="C13" i="16"/>
  <c r="C14" i="16"/>
  <c r="C15" i="16"/>
  <c r="C16" i="16"/>
  <c r="C17" i="16"/>
  <c r="C18" i="16"/>
  <c r="C19" i="16"/>
  <c r="C20" i="16"/>
  <c r="C21" i="16"/>
  <c r="C22" i="16"/>
  <c r="C23" i="16"/>
  <c r="C24" i="16"/>
  <c r="C25" i="16"/>
  <c r="C26" i="16"/>
  <c r="C27" i="16"/>
  <c r="C28" i="16"/>
  <c r="C29" i="16"/>
  <c r="C8" i="16"/>
  <c r="B47" i="10" l="1"/>
  <c r="B14" i="28"/>
  <c r="C30" i="16"/>
  <c r="B16" i="10" l="1"/>
  <c r="B18" i="10" s="1"/>
  <c r="C36" i="15"/>
  <c r="C37" i="15"/>
  <c r="C38" i="15"/>
  <c r="C39" i="15"/>
  <c r="C40" i="15"/>
  <c r="C41" i="15"/>
  <c r="C42" i="15"/>
  <c r="C43" i="15"/>
  <c r="C44" i="15"/>
  <c r="C45" i="15"/>
  <c r="C46" i="15"/>
  <c r="C47" i="15"/>
  <c r="C48" i="15"/>
  <c r="C49" i="15"/>
  <c r="C50" i="15"/>
  <c r="C51" i="15"/>
  <c r="C52" i="15"/>
  <c r="C53" i="15"/>
  <c r="C54" i="15"/>
  <c r="C55" i="15"/>
  <c r="C56" i="15"/>
  <c r="C57" i="15"/>
  <c r="C35" i="15"/>
  <c r="G25"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38" i="28" s="1"/>
  <c r="I26" i="15"/>
  <c r="I46" i="28" s="1"/>
  <c r="I10" i="15"/>
  <c r="I30" i="28" s="1"/>
  <c r="I14" i="15"/>
  <c r="I34" i="28" s="1"/>
  <c r="F38" i="15"/>
  <c r="F42" i="15"/>
  <c r="F46" i="15"/>
  <c r="F50" i="15"/>
  <c r="F54" i="15"/>
  <c r="F35" i="15"/>
  <c r="I29" i="15"/>
  <c r="I49" i="28" s="1"/>
  <c r="I22" i="15"/>
  <c r="I42" i="28" s="1"/>
  <c r="I11" i="15"/>
  <c r="I31" i="28" s="1"/>
  <c r="I15" i="15"/>
  <c r="I35" i="28" s="1"/>
  <c r="I19" i="15"/>
  <c r="I39" i="28" s="1"/>
  <c r="I23" i="15"/>
  <c r="I43" i="28" s="1"/>
  <c r="I27" i="15"/>
  <c r="I47" i="28" s="1"/>
  <c r="I8" i="15"/>
  <c r="I28" i="28" s="1"/>
  <c r="I12" i="15"/>
  <c r="I32" i="28" s="1"/>
  <c r="I16" i="15"/>
  <c r="I36" i="28" s="1"/>
  <c r="I20" i="15"/>
  <c r="I40" i="28" s="1"/>
  <c r="I24" i="15"/>
  <c r="I44" i="28" s="1"/>
  <c r="I28" i="15"/>
  <c r="I48" i="28" s="1"/>
  <c r="I9" i="15"/>
  <c r="I29" i="28" s="1"/>
  <c r="I13" i="15"/>
  <c r="I33" i="28" s="1"/>
  <c r="I17" i="15"/>
  <c r="I37" i="28" s="1"/>
  <c r="I21" i="15"/>
  <c r="I41" i="28" s="1"/>
  <c r="I25" i="15"/>
  <c r="I45" i="28" s="1"/>
  <c r="F39" i="15"/>
  <c r="F57" i="15"/>
  <c r="F53" i="15"/>
  <c r="F49" i="15"/>
  <c r="F45" i="15"/>
  <c r="F41" i="15"/>
  <c r="F37" i="15"/>
  <c r="F56" i="15"/>
  <c r="F52" i="15"/>
  <c r="F48" i="15"/>
  <c r="F44" i="15"/>
  <c r="F40" i="15"/>
  <c r="F36" i="15"/>
  <c r="F55" i="15"/>
  <c r="F51" i="15"/>
  <c r="F47" i="15"/>
  <c r="F43" i="15"/>
  <c r="G8" i="16"/>
  <c r="G9" i="16"/>
  <c r="G10" i="16"/>
  <c r="G11" i="16"/>
  <c r="G13" i="16"/>
  <c r="G14" i="16"/>
  <c r="G16" i="16"/>
  <c r="G17" i="16"/>
  <c r="G19" i="16"/>
  <c r="G20" i="16"/>
  <c r="G21" i="16"/>
  <c r="G22" i="16"/>
  <c r="G24" i="16"/>
  <c r="G27" i="16"/>
  <c r="G28" i="16"/>
  <c r="H8" i="16"/>
  <c r="H9" i="16"/>
  <c r="H10" i="16"/>
  <c r="H11" i="16"/>
  <c r="H12" i="16"/>
  <c r="H13" i="16"/>
  <c r="H14" i="16"/>
  <c r="H15" i="16"/>
  <c r="H16" i="16"/>
  <c r="H17" i="16"/>
  <c r="H18" i="16"/>
  <c r="H19" i="16"/>
  <c r="H20" i="16"/>
  <c r="H21" i="16"/>
  <c r="H22" i="16"/>
  <c r="H23" i="16"/>
  <c r="H24" i="16"/>
  <c r="H25" i="16"/>
  <c r="H26" i="16"/>
  <c r="H27" i="16"/>
  <c r="H28" i="16"/>
  <c r="H29" i="16"/>
  <c r="G12" i="16"/>
  <c r="G15" i="16"/>
  <c r="G18" i="16"/>
  <c r="G23" i="16"/>
  <c r="G26" i="16"/>
  <c r="G29" i="16"/>
  <c r="I8" i="16"/>
  <c r="I9" i="16"/>
  <c r="I10" i="16"/>
  <c r="I11" i="16"/>
  <c r="I12" i="16"/>
  <c r="I13" i="16"/>
  <c r="I14" i="16"/>
  <c r="I15" i="16"/>
  <c r="I16" i="16"/>
  <c r="I17" i="16"/>
  <c r="I18" i="16"/>
  <c r="I19" i="16"/>
  <c r="I20" i="16"/>
  <c r="I21" i="16"/>
  <c r="I22" i="16"/>
  <c r="I23" i="16"/>
  <c r="I24" i="16"/>
  <c r="I25" i="16"/>
  <c r="I26" i="16"/>
  <c r="I27" i="16"/>
  <c r="I28" i="16"/>
  <c r="I29" i="16"/>
  <c r="H30" i="16" l="1"/>
  <c r="I30" i="16"/>
  <c r="G30" i="16"/>
  <c r="J12" i="16" l="1"/>
  <c r="D32" i="28" s="1"/>
  <c r="J21" i="16"/>
  <c r="D41" i="28" s="1"/>
  <c r="J26" i="16"/>
  <c r="D46" i="28" s="1"/>
  <c r="J13" i="16"/>
  <c r="D33" i="28" s="1"/>
  <c r="J24" i="16"/>
  <c r="D44" i="28" s="1"/>
  <c r="J28" i="16"/>
  <c r="D48" i="28" s="1"/>
  <c r="J8" i="16"/>
  <c r="D28" i="28" s="1"/>
  <c r="J16" i="16"/>
  <c r="D36" i="28" s="1"/>
  <c r="J10" i="16"/>
  <c r="D30" i="28" s="1"/>
  <c r="J14" i="16"/>
  <c r="D34" i="28" s="1"/>
  <c r="J19" i="16"/>
  <c r="D39" i="28" s="1"/>
  <c r="J25" i="16"/>
  <c r="D45" i="28" s="1"/>
  <c r="J9" i="16"/>
  <c r="D29" i="28" s="1"/>
  <c r="J20" i="16"/>
  <c r="D40" i="28" s="1"/>
  <c r="J23" i="16"/>
  <c r="D43" i="28" s="1"/>
  <c r="J11" i="16"/>
  <c r="D31" i="28" s="1"/>
  <c r="J22" i="16"/>
  <c r="D42" i="28" s="1"/>
  <c r="J29" i="16"/>
  <c r="D49" i="28" s="1"/>
  <c r="J15" i="16"/>
  <c r="D35" i="28" s="1"/>
  <c r="J18" i="16"/>
  <c r="D38" i="28" s="1"/>
  <c r="J17" i="16"/>
  <c r="D37" i="28" s="1"/>
  <c r="J27" i="16"/>
  <c r="D47" i="28" s="1"/>
  <c r="L8" i="16"/>
  <c r="F28" i="28" s="1"/>
  <c r="L12" i="16"/>
  <c r="F32" i="28" s="1"/>
  <c r="L16" i="16"/>
  <c r="F36" i="28" s="1"/>
  <c r="L20" i="16"/>
  <c r="F40" i="28" s="1"/>
  <c r="L24" i="16"/>
  <c r="F44" i="28" s="1"/>
  <c r="L29" i="16"/>
  <c r="F49" i="28" s="1"/>
  <c r="L11" i="16"/>
  <c r="F31" i="28" s="1"/>
  <c r="L15" i="16"/>
  <c r="F35" i="28" s="1"/>
  <c r="L19" i="16"/>
  <c r="F39" i="28" s="1"/>
  <c r="L23" i="16"/>
  <c r="F43" i="28" s="1"/>
  <c r="L26" i="16"/>
  <c r="F46" i="28" s="1"/>
  <c r="L28" i="16"/>
  <c r="F48" i="28" s="1"/>
  <c r="L10" i="16"/>
  <c r="F30" i="28" s="1"/>
  <c r="L14" i="16"/>
  <c r="F34" i="28" s="1"/>
  <c r="L18" i="16"/>
  <c r="F38" i="28" s="1"/>
  <c r="L22" i="16"/>
  <c r="F42" i="28" s="1"/>
  <c r="L9" i="16"/>
  <c r="F29" i="28" s="1"/>
  <c r="L13" i="16"/>
  <c r="F33" i="28" s="1"/>
  <c r="L21" i="16"/>
  <c r="F41" i="28" s="1"/>
  <c r="L27" i="16"/>
  <c r="F47" i="28" s="1"/>
  <c r="L17" i="16"/>
  <c r="F37" i="28" s="1"/>
  <c r="L25" i="16"/>
  <c r="F45" i="28" s="1"/>
  <c r="K27" i="16"/>
  <c r="E47" i="28" s="1"/>
  <c r="K9" i="16"/>
  <c r="E29" i="28" s="1"/>
  <c r="K13" i="16"/>
  <c r="E33" i="28" s="1"/>
  <c r="K17" i="16"/>
  <c r="E37" i="28" s="1"/>
  <c r="K21" i="16"/>
  <c r="E41" i="28" s="1"/>
  <c r="K25" i="16"/>
  <c r="E45" i="28" s="1"/>
  <c r="K26" i="16"/>
  <c r="E46" i="28" s="1"/>
  <c r="K8" i="16"/>
  <c r="E28" i="28" s="1"/>
  <c r="K12" i="16"/>
  <c r="E32" i="28" s="1"/>
  <c r="K16" i="16"/>
  <c r="E36" i="28" s="1"/>
  <c r="K20" i="16"/>
  <c r="E40" i="28" s="1"/>
  <c r="K24" i="16"/>
  <c r="E44" i="28" s="1"/>
  <c r="K11" i="16"/>
  <c r="E31" i="28" s="1"/>
  <c r="K15" i="16"/>
  <c r="E35" i="28" s="1"/>
  <c r="K19" i="16"/>
  <c r="E39" i="28" s="1"/>
  <c r="K23" i="16"/>
  <c r="E43" i="28" s="1"/>
  <c r="K10" i="16"/>
  <c r="E30" i="28" s="1"/>
  <c r="K14" i="16"/>
  <c r="E34" i="28" s="1"/>
  <c r="K18" i="16"/>
  <c r="E38" i="28" s="1"/>
  <c r="K22" i="16"/>
  <c r="E42" i="28" s="1"/>
  <c r="K29" i="16"/>
  <c r="E49" i="28" s="1"/>
  <c r="K28" i="16"/>
  <c r="E48" i="28" s="1"/>
  <c r="B7" i="14" l="1"/>
  <c r="D24" i="14"/>
  <c r="D25" i="14"/>
  <c r="D26" i="14"/>
  <c r="D27" i="14"/>
  <c r="D28" i="14"/>
  <c r="D29" i="14"/>
  <c r="D30" i="14"/>
  <c r="D31" i="14"/>
  <c r="D32" i="14"/>
  <c r="D33" i="14"/>
  <c r="D34" i="14"/>
  <c r="D35" i="14"/>
  <c r="D36" i="14"/>
  <c r="D37" i="14"/>
  <c r="D38" i="14"/>
  <c r="D39" i="14"/>
  <c r="D40" i="14"/>
  <c r="D41" i="14"/>
  <c r="D42" i="14"/>
  <c r="D43" i="14"/>
  <c r="D44" i="14"/>
  <c r="D45" i="14"/>
  <c r="D23" i="14"/>
  <c r="C24" i="14"/>
  <c r="C25" i="14"/>
  <c r="C26" i="14"/>
  <c r="C27" i="14"/>
  <c r="C28" i="14"/>
  <c r="C29" i="14"/>
  <c r="C30" i="14"/>
  <c r="C31" i="14"/>
  <c r="C32" i="14"/>
  <c r="C33" i="14"/>
  <c r="C34" i="14"/>
  <c r="C35" i="14"/>
  <c r="C36" i="14"/>
  <c r="C37" i="14"/>
  <c r="C38" i="14"/>
  <c r="C39" i="14"/>
  <c r="C40" i="14"/>
  <c r="C41" i="14"/>
  <c r="C42" i="14"/>
  <c r="C43" i="14"/>
  <c r="C44" i="14"/>
  <c r="C45" i="14"/>
  <c r="C23" i="14"/>
  <c r="K56" i="15"/>
  <c r="K55" i="15"/>
  <c r="K54" i="15"/>
  <c r="K53" i="15"/>
  <c r="K52" i="15"/>
  <c r="K51" i="15"/>
  <c r="K50" i="15"/>
  <c r="K49" i="15"/>
  <c r="K48" i="15"/>
  <c r="K47" i="15"/>
  <c r="K46" i="15"/>
  <c r="K45" i="15"/>
  <c r="K44" i="15"/>
  <c r="K43" i="15"/>
  <c r="K42" i="15"/>
  <c r="K41" i="15"/>
  <c r="K40" i="15"/>
  <c r="K39" i="15"/>
  <c r="K38" i="15"/>
  <c r="K37" i="15"/>
  <c r="K36" i="15"/>
  <c r="K57" i="15"/>
  <c r="L35" i="15" s="1"/>
  <c r="L43" i="15" l="1"/>
  <c r="L37" i="15"/>
  <c r="L45" i="15"/>
  <c r="L52" i="15"/>
  <c r="L40" i="15"/>
  <c r="L48" i="15"/>
  <c r="L56" i="15"/>
  <c r="L41" i="15"/>
  <c r="L53" i="15"/>
  <c r="L47" i="15"/>
  <c r="L38" i="15"/>
  <c r="L51" i="15"/>
  <c r="L42" i="15"/>
  <c r="L54" i="15"/>
  <c r="L49" i="15"/>
  <c r="L36" i="15"/>
  <c r="L55" i="15"/>
  <c r="L57" i="15"/>
  <c r="E45" i="14" s="1"/>
  <c r="L50" i="15"/>
  <c r="L46" i="15"/>
  <c r="L39" i="15"/>
  <c r="L44" i="15"/>
  <c r="E34" i="14" l="1"/>
  <c r="E30" i="14"/>
  <c r="E42" i="14"/>
  <c r="E26" i="14"/>
  <c r="E28" i="14"/>
  <c r="E39" i="14"/>
  <c r="E36" i="14"/>
  <c r="E43" i="14"/>
  <c r="E35" i="14"/>
  <c r="E40" i="14"/>
  <c r="E38" i="14"/>
  <c r="E44" i="14"/>
  <c r="E23" i="14"/>
  <c r="E32" i="14"/>
  <c r="E24" i="14"/>
  <c r="E41" i="14"/>
  <c r="E33" i="14"/>
  <c r="E27" i="14"/>
  <c r="E37" i="14"/>
  <c r="E29" i="14"/>
  <c r="E25" i="14"/>
  <c r="E31" i="14"/>
  <c r="B24" i="10" l="1"/>
  <c r="B13" i="28"/>
  <c r="B16" i="28" s="1"/>
  <c r="B10" i="14"/>
  <c r="B17" i="14" s="1"/>
  <c r="B25" i="10" l="1"/>
  <c r="B26" i="10" s="1"/>
  <c r="B28" i="10" s="1"/>
  <c r="D21" i="28"/>
  <c r="D22" i="28" s="1"/>
  <c r="B15" i="28"/>
  <c r="B21" i="28"/>
  <c r="K21" i="28"/>
  <c r="K22" i="28" s="1"/>
  <c r="K69" i="28" s="1"/>
  <c r="K98" i="28" s="1"/>
  <c r="H21" i="28"/>
  <c r="H22" i="28" s="1"/>
  <c r="H74" i="28" s="1"/>
  <c r="H103" i="28" s="1"/>
  <c r="J21" i="28"/>
  <c r="J22" i="28" s="1"/>
  <c r="L21" i="28"/>
  <c r="L22" i="28" s="1"/>
  <c r="L54" i="28" s="1"/>
  <c r="E21" i="28"/>
  <c r="E22" i="28" s="1"/>
  <c r="E57" i="28" s="1"/>
  <c r="E86" i="28" s="1"/>
  <c r="M21" i="28"/>
  <c r="M22" i="28" s="1"/>
  <c r="M61" i="28" s="1"/>
  <c r="M90" i="28" s="1"/>
  <c r="C18" i="14"/>
  <c r="D68" i="14" s="1"/>
  <c r="D95" i="14" s="1"/>
  <c r="B11" i="14"/>
  <c r="B12" i="14" s="1"/>
  <c r="C19" i="14" s="1"/>
  <c r="I21" i="28"/>
  <c r="G21" i="28"/>
  <c r="F21" i="28"/>
  <c r="L62" i="28" l="1"/>
  <c r="L91" i="28" s="1"/>
  <c r="D50" i="14"/>
  <c r="D77" i="14" s="1"/>
  <c r="D66" i="14"/>
  <c r="D93" i="14" s="1"/>
  <c r="D53" i="14"/>
  <c r="D80" i="14" s="1"/>
  <c r="D65" i="14"/>
  <c r="D92" i="14" s="1"/>
  <c r="D51" i="14"/>
  <c r="D78" i="14" s="1"/>
  <c r="D64" i="14"/>
  <c r="D91" i="14" s="1"/>
  <c r="D69" i="14"/>
  <c r="D96" i="14" s="1"/>
  <c r="D62" i="14"/>
  <c r="D89" i="14" s="1"/>
  <c r="D63" i="14"/>
  <c r="D90" i="14" s="1"/>
  <c r="D54" i="14"/>
  <c r="D81" i="14" s="1"/>
  <c r="D67" i="14"/>
  <c r="D94" i="14" s="1"/>
  <c r="D49" i="14"/>
  <c r="D76" i="14" s="1"/>
  <c r="D56" i="14"/>
  <c r="D83" i="14" s="1"/>
  <c r="D57" i="14"/>
  <c r="D84" i="14" s="1"/>
  <c r="D61" i="14"/>
  <c r="D88" i="14" s="1"/>
  <c r="D70" i="14"/>
  <c r="D97" i="14" s="1"/>
  <c r="D60" i="14"/>
  <c r="D87" i="14" s="1"/>
  <c r="D55" i="14"/>
  <c r="D82" i="14" s="1"/>
  <c r="D71" i="14"/>
  <c r="D98" i="14" s="1"/>
  <c r="D52" i="14"/>
  <c r="D79" i="14" s="1"/>
  <c r="D59" i="14"/>
  <c r="D86" i="14" s="1"/>
  <c r="D23" i="28"/>
  <c r="K65" i="28"/>
  <c r="K94" i="28" s="1"/>
  <c r="K72" i="28"/>
  <c r="K101" i="28" s="1"/>
  <c r="K63" i="28"/>
  <c r="K92" i="28" s="1"/>
  <c r="H63" i="28"/>
  <c r="H92" i="28" s="1"/>
  <c r="K58" i="28"/>
  <c r="K87" i="28" s="1"/>
  <c r="E61" i="28"/>
  <c r="E90" i="28" s="1"/>
  <c r="E70" i="28"/>
  <c r="E99" i="28" s="1"/>
  <c r="E54" i="28"/>
  <c r="E83" i="28" s="1"/>
  <c r="L67" i="28"/>
  <c r="L96" i="28" s="1"/>
  <c r="L58" i="28"/>
  <c r="L87" i="28" s="1"/>
  <c r="L70" i="28"/>
  <c r="L99" i="28" s="1"/>
  <c r="L61" i="28"/>
  <c r="L90" i="28" s="1"/>
  <c r="L72" i="28"/>
  <c r="L101" i="28" s="1"/>
  <c r="L74" i="28"/>
  <c r="L103" i="28" s="1"/>
  <c r="E58" i="28"/>
  <c r="E87" i="28" s="1"/>
  <c r="E71" i="28"/>
  <c r="E100" i="28" s="1"/>
  <c r="J23" i="28"/>
  <c r="E64" i="28"/>
  <c r="E93" i="28" s="1"/>
  <c r="E59" i="28"/>
  <c r="E88" i="28" s="1"/>
  <c r="E68" i="28"/>
  <c r="E97" i="28" s="1"/>
  <c r="E55" i="28"/>
  <c r="E84" i="28" s="1"/>
  <c r="L71" i="28"/>
  <c r="L100" i="28" s="1"/>
  <c r="L65" i="28"/>
  <c r="L94" i="28" s="1"/>
  <c r="L64" i="28"/>
  <c r="L93" i="28" s="1"/>
  <c r="H70" i="28"/>
  <c r="H99" i="28" s="1"/>
  <c r="H64" i="28"/>
  <c r="H93" i="28" s="1"/>
  <c r="H66" i="28"/>
  <c r="H95" i="28" s="1"/>
  <c r="K75" i="28"/>
  <c r="K104" i="28" s="1"/>
  <c r="K70" i="28"/>
  <c r="K99" i="28" s="1"/>
  <c r="H62" i="28"/>
  <c r="H91" i="28" s="1"/>
  <c r="K71" i="28"/>
  <c r="K100" i="28" s="1"/>
  <c r="K57" i="28"/>
  <c r="K86" i="28" s="1"/>
  <c r="H54" i="28"/>
  <c r="H83" i="28" s="1"/>
  <c r="K73" i="28"/>
  <c r="K102" i="28" s="1"/>
  <c r="K59" i="28"/>
  <c r="K88" i="28" s="1"/>
  <c r="H55" i="28"/>
  <c r="H84" i="28" s="1"/>
  <c r="H71" i="28"/>
  <c r="H100" i="28" s="1"/>
  <c r="H68" i="28"/>
  <c r="H97" i="28" s="1"/>
  <c r="K54" i="28"/>
  <c r="K83" i="28" s="1"/>
  <c r="K62" i="28"/>
  <c r="K91" i="28" s="1"/>
  <c r="H56" i="28"/>
  <c r="H85" i="28" s="1"/>
  <c r="H73" i="28"/>
  <c r="H102" i="28" s="1"/>
  <c r="K66" i="28"/>
  <c r="K95" i="28" s="1"/>
  <c r="K61" i="28"/>
  <c r="K90" i="28" s="1"/>
  <c r="H57" i="28"/>
  <c r="H86" i="28" s="1"/>
  <c r="H58" i="28"/>
  <c r="H87" i="28" s="1"/>
  <c r="K67" i="28"/>
  <c r="K96" i="28" s="1"/>
  <c r="K55" i="28"/>
  <c r="K84" i="28" s="1"/>
  <c r="H61" i="28"/>
  <c r="H90" i="28" s="1"/>
  <c r="H60" i="28"/>
  <c r="H89" i="28" s="1"/>
  <c r="H69" i="28"/>
  <c r="H98" i="28" s="1"/>
  <c r="K74" i="28"/>
  <c r="K103" i="28" s="1"/>
  <c r="H67" i="28"/>
  <c r="H96" i="28" s="1"/>
  <c r="H59" i="28"/>
  <c r="H88" i="28" s="1"/>
  <c r="K68" i="28"/>
  <c r="K97" i="28" s="1"/>
  <c r="E67" i="28"/>
  <c r="E96" i="28" s="1"/>
  <c r="H75" i="28"/>
  <c r="H104" i="28" s="1"/>
  <c r="K60" i="28"/>
  <c r="K89" i="28" s="1"/>
  <c r="K56" i="28"/>
  <c r="K85" i="28" s="1"/>
  <c r="L73" i="28"/>
  <c r="L102" i="28" s="1"/>
  <c r="H72" i="28"/>
  <c r="H101" i="28" s="1"/>
  <c r="M62" i="28"/>
  <c r="M91" i="28" s="1"/>
  <c r="K64" i="28"/>
  <c r="K93" i="28" s="1"/>
  <c r="H65" i="28"/>
  <c r="H94" i="28" s="1"/>
  <c r="L56" i="28"/>
  <c r="L85" i="28" s="1"/>
  <c r="C23" i="28"/>
  <c r="M69" i="28"/>
  <c r="M98" i="28" s="1"/>
  <c r="L63" i="28"/>
  <c r="L92" i="28" s="1"/>
  <c r="L68" i="28"/>
  <c r="L97" i="28" s="1"/>
  <c r="L66" i="28"/>
  <c r="L95" i="28" s="1"/>
  <c r="L75" i="28"/>
  <c r="L104" i="28" s="1"/>
  <c r="L55" i="28"/>
  <c r="L84" i="28" s="1"/>
  <c r="L60" i="28"/>
  <c r="L89" i="28" s="1"/>
  <c r="L69" i="28"/>
  <c r="L98" i="28" s="1"/>
  <c r="L57" i="28"/>
  <c r="L86" i="28" s="1"/>
  <c r="L59" i="28"/>
  <c r="L88" i="28" s="1"/>
  <c r="M72" i="28"/>
  <c r="M101" i="28" s="1"/>
  <c r="M60" i="28"/>
  <c r="M89" i="28" s="1"/>
  <c r="M56" i="28"/>
  <c r="M85" i="28" s="1"/>
  <c r="M76" i="28"/>
  <c r="M105" i="28" s="1"/>
  <c r="M57" i="28"/>
  <c r="M86" i="28" s="1"/>
  <c r="M65" i="28"/>
  <c r="M94" i="28" s="1"/>
  <c r="M59" i="28"/>
  <c r="M88" i="28" s="1"/>
  <c r="M55" i="28"/>
  <c r="M84" i="28" s="1"/>
  <c r="M54" i="28"/>
  <c r="M83" i="28" s="1"/>
  <c r="M73" i="28"/>
  <c r="M102" i="28" s="1"/>
  <c r="M74" i="28"/>
  <c r="M103" i="28" s="1"/>
  <c r="M70" i="28"/>
  <c r="M99" i="28" s="1"/>
  <c r="M67" i="28"/>
  <c r="M96" i="28" s="1"/>
  <c r="M64" i="28"/>
  <c r="M93" i="28" s="1"/>
  <c r="M66" i="28"/>
  <c r="M95" i="28" s="1"/>
  <c r="M68" i="28"/>
  <c r="M97" i="28" s="1"/>
  <c r="M58" i="28"/>
  <c r="M87" i="28" s="1"/>
  <c r="M63" i="28"/>
  <c r="M92" i="28" s="1"/>
  <c r="M71" i="28"/>
  <c r="M100" i="28" s="1"/>
  <c r="M75" i="28"/>
  <c r="M104" i="28" s="1"/>
  <c r="E73" i="28"/>
  <c r="E102" i="28" s="1"/>
  <c r="E66" i="28"/>
  <c r="E95" i="28" s="1"/>
  <c r="E69" i="28"/>
  <c r="E98" i="28" s="1"/>
  <c r="E75" i="28"/>
  <c r="E104" i="28" s="1"/>
  <c r="E62" i="28"/>
  <c r="E91" i="28" s="1"/>
  <c r="E56" i="28"/>
  <c r="E85" i="28" s="1"/>
  <c r="E63" i="28"/>
  <c r="E92" i="28" s="1"/>
  <c r="E60" i="28"/>
  <c r="E89" i="28" s="1"/>
  <c r="E74" i="28"/>
  <c r="E103" i="28" s="1"/>
  <c r="E65" i="28"/>
  <c r="E94" i="28" s="1"/>
  <c r="E72" i="28"/>
  <c r="E101" i="28" s="1"/>
  <c r="D58" i="14"/>
  <c r="D85" i="14" s="1"/>
  <c r="D55" i="28"/>
  <c r="D84" i="28" s="1"/>
  <c r="D59" i="28"/>
  <c r="D88" i="28" s="1"/>
  <c r="D57" i="28"/>
  <c r="D86" i="28" s="1"/>
  <c r="D54" i="28"/>
  <c r="D60" i="28"/>
  <c r="D89" i="28" s="1"/>
  <c r="D66" i="28"/>
  <c r="D95" i="28" s="1"/>
  <c r="D62" i="28"/>
  <c r="D91" i="28" s="1"/>
  <c r="D70" i="28"/>
  <c r="D99" i="28" s="1"/>
  <c r="D64" i="28"/>
  <c r="D93" i="28" s="1"/>
  <c r="D65" i="28"/>
  <c r="D94" i="28" s="1"/>
  <c r="D67" i="28"/>
  <c r="D96" i="28" s="1"/>
  <c r="D63" i="28"/>
  <c r="D92" i="28" s="1"/>
  <c r="D75" i="28"/>
  <c r="D104" i="28" s="1"/>
  <c r="D61" i="28"/>
  <c r="D90" i="28" s="1"/>
  <c r="D68" i="28"/>
  <c r="D97" i="28" s="1"/>
  <c r="D74" i="28"/>
  <c r="D103" i="28" s="1"/>
  <c r="D69" i="28"/>
  <c r="D98" i="28" s="1"/>
  <c r="D72" i="28"/>
  <c r="D101" i="28" s="1"/>
  <c r="D73" i="28"/>
  <c r="D102" i="28" s="1"/>
  <c r="D56" i="28"/>
  <c r="D85" i="28" s="1"/>
  <c r="D71" i="28"/>
  <c r="D100" i="28" s="1"/>
  <c r="D58" i="28"/>
  <c r="D87" i="28" s="1"/>
  <c r="D18" i="14"/>
  <c r="D19" i="14"/>
  <c r="B18" i="14"/>
  <c r="B19" i="14"/>
  <c r="E17" i="14"/>
  <c r="J72" i="28"/>
  <c r="J101" i="28" s="1"/>
  <c r="J55" i="28"/>
  <c r="J84" i="28" s="1"/>
  <c r="J69" i="28"/>
  <c r="J98" i="28" s="1"/>
  <c r="J75" i="28"/>
  <c r="J104" i="28" s="1"/>
  <c r="J67" i="28"/>
  <c r="J96" i="28" s="1"/>
  <c r="J74" i="28"/>
  <c r="J103" i="28" s="1"/>
  <c r="J63" i="28"/>
  <c r="J92" i="28" s="1"/>
  <c r="J54" i="28"/>
  <c r="J66" i="28"/>
  <c r="J95" i="28" s="1"/>
  <c r="J70" i="28"/>
  <c r="J99" i="28" s="1"/>
  <c r="J71" i="28"/>
  <c r="J100" i="28" s="1"/>
  <c r="J60" i="28"/>
  <c r="J89" i="28" s="1"/>
  <c r="J73" i="28"/>
  <c r="J102" i="28" s="1"/>
  <c r="J62" i="28"/>
  <c r="J91" i="28" s="1"/>
  <c r="J57" i="28"/>
  <c r="J86" i="28" s="1"/>
  <c r="J64" i="28"/>
  <c r="J93" i="28" s="1"/>
  <c r="J65" i="28"/>
  <c r="J94" i="28" s="1"/>
  <c r="J59" i="28"/>
  <c r="J88" i="28" s="1"/>
  <c r="J68" i="28"/>
  <c r="J97" i="28" s="1"/>
  <c r="J61" i="28"/>
  <c r="J90" i="28" s="1"/>
  <c r="J58" i="28"/>
  <c r="J87" i="28" s="1"/>
  <c r="J56" i="28"/>
  <c r="J85" i="28" s="1"/>
  <c r="F23" i="28"/>
  <c r="F22" i="28"/>
  <c r="L83" i="28"/>
  <c r="M23" i="28"/>
  <c r="E23" i="28"/>
  <c r="L23" i="28"/>
  <c r="H23" i="28"/>
  <c r="K23" i="28"/>
  <c r="G23" i="28"/>
  <c r="G22" i="28"/>
  <c r="I23" i="28"/>
  <c r="I22" i="28"/>
  <c r="B23" i="28"/>
  <c r="N21" i="28"/>
  <c r="B22" i="28"/>
  <c r="E19" i="14" l="1"/>
  <c r="H76" i="28"/>
  <c r="H105" i="28" s="1"/>
  <c r="K76" i="28"/>
  <c r="K105" i="28" s="1"/>
  <c r="E76" i="28"/>
  <c r="E105" i="28" s="1"/>
  <c r="L76" i="28"/>
  <c r="L105" i="28" s="1"/>
  <c r="F58" i="28"/>
  <c r="F87" i="28" s="1"/>
  <c r="F70" i="28"/>
  <c r="F99" i="28" s="1"/>
  <c r="F63" i="28"/>
  <c r="F92" i="28" s="1"/>
  <c r="F57" i="28"/>
  <c r="F86" i="28" s="1"/>
  <c r="F55" i="28"/>
  <c r="F84" i="28" s="1"/>
  <c r="F59" i="28"/>
  <c r="F88" i="28" s="1"/>
  <c r="F75" i="28"/>
  <c r="F104" i="28" s="1"/>
  <c r="F65" i="28"/>
  <c r="F94" i="28" s="1"/>
  <c r="F72" i="28"/>
  <c r="F101" i="28" s="1"/>
  <c r="F73" i="28"/>
  <c r="F102" i="28" s="1"/>
  <c r="F62" i="28"/>
  <c r="F91" i="28" s="1"/>
  <c r="F67" i="28"/>
  <c r="F96" i="28" s="1"/>
  <c r="F60" i="28"/>
  <c r="F89" i="28" s="1"/>
  <c r="F54" i="28"/>
  <c r="F66" i="28"/>
  <c r="F95" i="28" s="1"/>
  <c r="F56" i="28"/>
  <c r="F85" i="28" s="1"/>
  <c r="F68" i="28"/>
  <c r="F97" i="28" s="1"/>
  <c r="F69" i="28"/>
  <c r="F98" i="28" s="1"/>
  <c r="F71" i="28"/>
  <c r="F100" i="28" s="1"/>
  <c r="F61" i="28"/>
  <c r="F90" i="28" s="1"/>
  <c r="F74" i="28"/>
  <c r="F103" i="28" s="1"/>
  <c r="F64" i="28"/>
  <c r="F93" i="28" s="1"/>
  <c r="I68" i="28"/>
  <c r="I97" i="28" s="1"/>
  <c r="I66" i="28"/>
  <c r="I95" i="28" s="1"/>
  <c r="I72" i="28"/>
  <c r="I101" i="28" s="1"/>
  <c r="I55" i="28"/>
  <c r="I84" i="28" s="1"/>
  <c r="I60" i="28"/>
  <c r="I89" i="28" s="1"/>
  <c r="I74" i="28"/>
  <c r="I103" i="28" s="1"/>
  <c r="I57" i="28"/>
  <c r="I86" i="28" s="1"/>
  <c r="I56" i="28"/>
  <c r="I85" i="28" s="1"/>
  <c r="I69" i="28"/>
  <c r="I98" i="28" s="1"/>
  <c r="I67" i="28"/>
  <c r="I96" i="28" s="1"/>
  <c r="I62" i="28"/>
  <c r="I91" i="28" s="1"/>
  <c r="I59" i="28"/>
  <c r="I88" i="28" s="1"/>
  <c r="I70" i="28"/>
  <c r="I99" i="28" s="1"/>
  <c r="I54" i="28"/>
  <c r="I71" i="28"/>
  <c r="I100" i="28" s="1"/>
  <c r="I65" i="28"/>
  <c r="I94" i="28" s="1"/>
  <c r="I63" i="28"/>
  <c r="I92" i="28" s="1"/>
  <c r="I64" i="28"/>
  <c r="I93" i="28" s="1"/>
  <c r="I73" i="28"/>
  <c r="I102" i="28" s="1"/>
  <c r="I75" i="28"/>
  <c r="I104" i="28" s="1"/>
  <c r="I58" i="28"/>
  <c r="I87" i="28" s="1"/>
  <c r="I61" i="28"/>
  <c r="I90" i="28" s="1"/>
  <c r="C60" i="14"/>
  <c r="C67" i="14"/>
  <c r="C52" i="14"/>
  <c r="C61" i="14"/>
  <c r="C59" i="14"/>
  <c r="C62" i="14"/>
  <c r="C70" i="14"/>
  <c r="C49" i="14"/>
  <c r="C66" i="14"/>
  <c r="C68" i="14"/>
  <c r="C57" i="14"/>
  <c r="C50" i="14"/>
  <c r="C54" i="14"/>
  <c r="C55" i="14"/>
  <c r="C53" i="14"/>
  <c r="C71" i="14"/>
  <c r="C69" i="14"/>
  <c r="C58" i="14"/>
  <c r="C64" i="14"/>
  <c r="C51" i="14"/>
  <c r="C65" i="14"/>
  <c r="C56" i="14"/>
  <c r="C63" i="14"/>
  <c r="G68" i="28"/>
  <c r="G97" i="28" s="1"/>
  <c r="G62" i="28"/>
  <c r="G91" i="28" s="1"/>
  <c r="G74" i="28"/>
  <c r="G103" i="28" s="1"/>
  <c r="G61" i="28"/>
  <c r="G90" i="28" s="1"/>
  <c r="G73" i="28"/>
  <c r="G102" i="28" s="1"/>
  <c r="G66" i="28"/>
  <c r="G95" i="28" s="1"/>
  <c r="G75" i="28"/>
  <c r="G104" i="28" s="1"/>
  <c r="G72" i="28"/>
  <c r="G101" i="28" s="1"/>
  <c r="G69" i="28"/>
  <c r="G98" i="28" s="1"/>
  <c r="G64" i="28"/>
  <c r="G93" i="28" s="1"/>
  <c r="G58" i="28"/>
  <c r="G87" i="28" s="1"/>
  <c r="G71" i="28"/>
  <c r="G100" i="28" s="1"/>
  <c r="G57" i="28"/>
  <c r="G86" i="28" s="1"/>
  <c r="G67" i="28"/>
  <c r="G96" i="28" s="1"/>
  <c r="G70" i="28"/>
  <c r="G99" i="28" s="1"/>
  <c r="G63" i="28"/>
  <c r="G92" i="28" s="1"/>
  <c r="G59" i="28"/>
  <c r="G88" i="28" s="1"/>
  <c r="G60" i="28"/>
  <c r="G89" i="28" s="1"/>
  <c r="G54" i="28"/>
  <c r="G56" i="28"/>
  <c r="G85" i="28" s="1"/>
  <c r="G65" i="28"/>
  <c r="G94" i="28" s="1"/>
  <c r="G55" i="28"/>
  <c r="G84" i="28" s="1"/>
  <c r="D76" i="28"/>
  <c r="D83" i="28"/>
  <c r="C59" i="28"/>
  <c r="C61" i="28"/>
  <c r="C60" i="28"/>
  <c r="C67" i="28"/>
  <c r="C66" i="28"/>
  <c r="C54" i="28"/>
  <c r="C68" i="28"/>
  <c r="C69" i="28"/>
  <c r="C65" i="28"/>
  <c r="C72" i="28"/>
  <c r="C57" i="28"/>
  <c r="C64" i="28"/>
  <c r="C75" i="28"/>
  <c r="C74" i="28"/>
  <c r="C73" i="28"/>
  <c r="C56" i="28"/>
  <c r="C58" i="28"/>
  <c r="C71" i="28"/>
  <c r="C63" i="28"/>
  <c r="C70" i="28"/>
  <c r="C55" i="28"/>
  <c r="C62" i="28"/>
  <c r="J83" i="28"/>
  <c r="J76" i="28"/>
  <c r="N23" i="28"/>
  <c r="E57" i="14"/>
  <c r="E84" i="14" s="1"/>
  <c r="E53" i="14"/>
  <c r="E80" i="14" s="1"/>
  <c r="E59" i="14"/>
  <c r="E86" i="14" s="1"/>
  <c r="E52" i="14"/>
  <c r="E79" i="14" s="1"/>
  <c r="E67" i="14"/>
  <c r="E94" i="14" s="1"/>
  <c r="E68" i="14"/>
  <c r="E95" i="14" s="1"/>
  <c r="E55" i="14"/>
  <c r="E82" i="14" s="1"/>
  <c r="E64" i="14"/>
  <c r="E91" i="14" s="1"/>
  <c r="E65" i="14"/>
  <c r="E92" i="14" s="1"/>
  <c r="E56" i="14"/>
  <c r="E83" i="14" s="1"/>
  <c r="E62" i="14"/>
  <c r="E89" i="14" s="1"/>
  <c r="E49" i="14"/>
  <c r="E76" i="14" s="1"/>
  <c r="E70" i="14"/>
  <c r="E97" i="14" s="1"/>
  <c r="E69" i="14"/>
  <c r="E96" i="14" s="1"/>
  <c r="E51" i="14"/>
  <c r="E78" i="14" s="1"/>
  <c r="E63" i="14"/>
  <c r="E90" i="14" s="1"/>
  <c r="E66" i="14"/>
  <c r="E93" i="14" s="1"/>
  <c r="E60" i="14"/>
  <c r="E87" i="14" s="1"/>
  <c r="E58" i="14"/>
  <c r="E85" i="14" s="1"/>
  <c r="E61" i="14"/>
  <c r="E88" i="14" s="1"/>
  <c r="E54" i="14"/>
  <c r="E81" i="14" s="1"/>
  <c r="E50" i="14"/>
  <c r="E77" i="14" s="1"/>
  <c r="E71" i="14"/>
  <c r="C99" i="28" l="1"/>
  <c r="N99" i="28" s="1"/>
  <c r="N70" i="28"/>
  <c r="C98" i="28"/>
  <c r="N98" i="28" s="1"/>
  <c r="N69" i="28"/>
  <c r="C92" i="14"/>
  <c r="F92" i="14" s="1"/>
  <c r="F65" i="14"/>
  <c r="C93" i="14"/>
  <c r="F93" i="14" s="1"/>
  <c r="F66" i="14"/>
  <c r="N63" i="28"/>
  <c r="C92" i="28"/>
  <c r="N92" i="28" s="1"/>
  <c r="C97" i="28"/>
  <c r="N97" i="28" s="1"/>
  <c r="N68" i="28"/>
  <c r="F51" i="14"/>
  <c r="C78" i="14"/>
  <c r="F78" i="14" s="1"/>
  <c r="F49" i="14"/>
  <c r="C76" i="14"/>
  <c r="F76" i="14" s="1"/>
  <c r="N71" i="28"/>
  <c r="C100" i="28"/>
  <c r="N100" i="28" s="1"/>
  <c r="C83" i="28"/>
  <c r="C76" i="28"/>
  <c r="N54" i="28"/>
  <c r="F64" i="14"/>
  <c r="C91" i="14"/>
  <c r="F91" i="14" s="1"/>
  <c r="C97" i="14"/>
  <c r="F97" i="14" s="1"/>
  <c r="F70" i="14"/>
  <c r="N58" i="28"/>
  <c r="C87" i="28"/>
  <c r="N87" i="28" s="1"/>
  <c r="N66" i="28"/>
  <c r="C95" i="28"/>
  <c r="N95" i="28" s="1"/>
  <c r="G76" i="28"/>
  <c r="G83" i="28"/>
  <c r="C85" i="14"/>
  <c r="F85" i="14" s="1"/>
  <c r="F58" i="14"/>
  <c r="F62" i="14"/>
  <c r="C89" i="14"/>
  <c r="F89" i="14" s="1"/>
  <c r="F83" i="28"/>
  <c r="F76" i="28"/>
  <c r="N56" i="28"/>
  <c r="C85" i="28"/>
  <c r="N85" i="28" s="1"/>
  <c r="N67" i="28"/>
  <c r="C96" i="28"/>
  <c r="N96" i="28" s="1"/>
  <c r="C96" i="14"/>
  <c r="F96" i="14" s="1"/>
  <c r="F69" i="14"/>
  <c r="F59" i="14"/>
  <c r="C86" i="14"/>
  <c r="F86" i="14" s="1"/>
  <c r="C102" i="28"/>
  <c r="N102" i="28" s="1"/>
  <c r="N73" i="28"/>
  <c r="C89" i="28"/>
  <c r="N89" i="28" s="1"/>
  <c r="N60" i="28"/>
  <c r="F71" i="14"/>
  <c r="C98" i="14"/>
  <c r="F61" i="14"/>
  <c r="C88" i="14"/>
  <c r="F88" i="14" s="1"/>
  <c r="I76" i="28"/>
  <c r="I83" i="28"/>
  <c r="C103" i="28"/>
  <c r="N103" i="28" s="1"/>
  <c r="N74" i="28"/>
  <c r="C90" i="28"/>
  <c r="N90" i="28" s="1"/>
  <c r="N61" i="28"/>
  <c r="C80" i="14"/>
  <c r="F80" i="14" s="1"/>
  <c r="F53" i="14"/>
  <c r="C79" i="14"/>
  <c r="F79" i="14" s="1"/>
  <c r="F52" i="14"/>
  <c r="N75" i="28"/>
  <c r="C104" i="28"/>
  <c r="N104" i="28" s="1"/>
  <c r="C88" i="28"/>
  <c r="N88" i="28" s="1"/>
  <c r="N59" i="28"/>
  <c r="F55" i="14"/>
  <c r="C82" i="14"/>
  <c r="F82" i="14" s="1"/>
  <c r="F67" i="14"/>
  <c r="C94" i="14"/>
  <c r="F94" i="14" s="1"/>
  <c r="E98" i="14"/>
  <c r="J105" i="28"/>
  <c r="C93" i="28"/>
  <c r="N93" i="28" s="1"/>
  <c r="N64" i="28"/>
  <c r="F54" i="14"/>
  <c r="C81" i="14"/>
  <c r="F81" i="14" s="1"/>
  <c r="F60" i="14"/>
  <c r="C87" i="14"/>
  <c r="F87" i="14" s="1"/>
  <c r="C86" i="28"/>
  <c r="N86" i="28" s="1"/>
  <c r="N57" i="28"/>
  <c r="D105" i="28"/>
  <c r="F50" i="14"/>
  <c r="C77" i="14"/>
  <c r="F77" i="14" s="1"/>
  <c r="N62" i="28"/>
  <c r="C91" i="28"/>
  <c r="N91" i="28" s="1"/>
  <c r="C101" i="28"/>
  <c r="N101" i="28" s="1"/>
  <c r="N72" i="28"/>
  <c r="C90" i="14"/>
  <c r="F90" i="14" s="1"/>
  <c r="F63" i="14"/>
  <c r="C84" i="14"/>
  <c r="F84" i="14" s="1"/>
  <c r="F57" i="14"/>
  <c r="N55" i="28"/>
  <c r="C84" i="28"/>
  <c r="N84" i="28" s="1"/>
  <c r="C94" i="28"/>
  <c r="N94" i="28" s="1"/>
  <c r="N65" i="28"/>
  <c r="C83" i="14"/>
  <c r="F83" i="14" s="1"/>
  <c r="F56" i="14"/>
  <c r="C95" i="14"/>
  <c r="F95" i="14" s="1"/>
  <c r="F68" i="14"/>
  <c r="D72" i="14" l="1"/>
  <c r="E14" i="31"/>
  <c r="G14" i="31" s="1"/>
  <c r="E27" i="31"/>
  <c r="G27" i="31" s="1"/>
  <c r="E28" i="31"/>
  <c r="G28" i="31" s="1"/>
  <c r="E9" i="31"/>
  <c r="G9" i="31" s="1"/>
  <c r="E7" i="31"/>
  <c r="G7" i="31" s="1"/>
  <c r="F98" i="14"/>
  <c r="E8" i="31"/>
  <c r="G8" i="31" s="1"/>
  <c r="E15" i="31"/>
  <c r="G15" i="31" s="1"/>
  <c r="E21" i="31"/>
  <c r="G21" i="31" s="1"/>
  <c r="E26" i="31"/>
  <c r="G26" i="31" s="1"/>
  <c r="E25" i="31"/>
  <c r="G25" i="31" s="1"/>
  <c r="E16" i="31"/>
  <c r="G16" i="31" s="1"/>
  <c r="E12" i="31"/>
  <c r="G12" i="31" s="1"/>
  <c r="C105" i="28"/>
  <c r="N76" i="28"/>
  <c r="E18" i="31"/>
  <c r="G18" i="31" s="1"/>
  <c r="E17" i="31"/>
  <c r="G17" i="31" s="1"/>
  <c r="I105" i="28"/>
  <c r="N83" i="28"/>
  <c r="G105" i="28"/>
  <c r="E24" i="31"/>
  <c r="G24" i="31" s="1"/>
  <c r="E20" i="31"/>
  <c r="G20" i="31" s="1"/>
  <c r="E19" i="31"/>
  <c r="G19" i="31" s="1"/>
  <c r="E22" i="31"/>
  <c r="G22" i="31" s="1"/>
  <c r="E72" i="14"/>
  <c r="C72" i="14"/>
  <c r="E11" i="31"/>
  <c r="G11" i="31" s="1"/>
  <c r="E23" i="31"/>
  <c r="G23" i="31" s="1"/>
  <c r="E10" i="31"/>
  <c r="G10" i="31" s="1"/>
  <c r="E13" i="31"/>
  <c r="G13" i="31" s="1"/>
  <c r="F105" i="28"/>
  <c r="L20" i="31" l="1"/>
  <c r="H47" i="31"/>
  <c r="L47" i="31"/>
  <c r="N47" i="31"/>
  <c r="J47" i="31"/>
  <c r="E47" i="31"/>
  <c r="K47" i="31"/>
  <c r="C47" i="31"/>
  <c r="D47" i="31"/>
  <c r="F47" i="31"/>
  <c r="G47" i="31"/>
  <c r="M47" i="31"/>
  <c r="I47" i="31"/>
  <c r="L26" i="31"/>
  <c r="L53" i="31"/>
  <c r="N53" i="31"/>
  <c r="C53" i="31"/>
  <c r="J53" i="31"/>
  <c r="E53" i="31"/>
  <c r="K53" i="31"/>
  <c r="M53" i="31"/>
  <c r="H53" i="31"/>
  <c r="D53" i="31"/>
  <c r="I53" i="31"/>
  <c r="G53" i="31"/>
  <c r="F53" i="31"/>
  <c r="L21" i="31"/>
  <c r="E48" i="31"/>
  <c r="I48" i="31"/>
  <c r="F48" i="31"/>
  <c r="J48" i="31"/>
  <c r="G48" i="31"/>
  <c r="K48" i="31"/>
  <c r="C48" i="31"/>
  <c r="H48" i="31"/>
  <c r="D48" i="31"/>
  <c r="L48" i="31"/>
  <c r="M48" i="31"/>
  <c r="N48" i="31"/>
  <c r="L13" i="31"/>
  <c r="C40" i="31"/>
  <c r="I40" i="31"/>
  <c r="J40" i="31"/>
  <c r="H40" i="31"/>
  <c r="K40" i="31"/>
  <c r="L40" i="31"/>
  <c r="F40" i="31"/>
  <c r="M40" i="31"/>
  <c r="G40" i="31"/>
  <c r="N40" i="31"/>
  <c r="D40" i="31"/>
  <c r="E40" i="31"/>
  <c r="L17" i="31"/>
  <c r="G44" i="31"/>
  <c r="I44" i="31"/>
  <c r="J44" i="31"/>
  <c r="K44" i="31"/>
  <c r="E44" i="31"/>
  <c r="N44" i="31"/>
  <c r="H44" i="31"/>
  <c r="D44" i="31"/>
  <c r="F44" i="31"/>
  <c r="C44" i="31"/>
  <c r="M44" i="31"/>
  <c r="L44" i="31"/>
  <c r="L9" i="31"/>
  <c r="E36" i="31"/>
  <c r="I36" i="31"/>
  <c r="F36" i="31"/>
  <c r="J36" i="31"/>
  <c r="G36" i="31"/>
  <c r="K36" i="31"/>
  <c r="C36" i="31"/>
  <c r="H36" i="31"/>
  <c r="L36" i="31"/>
  <c r="D36" i="31"/>
  <c r="M36" i="31"/>
  <c r="N36" i="31"/>
  <c r="L24" i="31"/>
  <c r="L51" i="31"/>
  <c r="N51" i="31"/>
  <c r="E51" i="31"/>
  <c r="F51" i="31"/>
  <c r="H51" i="31"/>
  <c r="G51" i="31"/>
  <c r="J51" i="31"/>
  <c r="C51" i="31"/>
  <c r="D51" i="31"/>
  <c r="I51" i="31"/>
  <c r="K51" i="31"/>
  <c r="M51" i="31"/>
  <c r="L27" i="31"/>
  <c r="E54" i="31"/>
  <c r="I54" i="31"/>
  <c r="F54" i="31"/>
  <c r="C54" i="31"/>
  <c r="J54" i="31"/>
  <c r="G54" i="31"/>
  <c r="K54" i="31"/>
  <c r="L54" i="31"/>
  <c r="M54" i="31"/>
  <c r="N54" i="31"/>
  <c r="H54" i="31"/>
  <c r="D54" i="31"/>
  <c r="L15" i="31"/>
  <c r="E42" i="31"/>
  <c r="I42" i="31"/>
  <c r="F42" i="31"/>
  <c r="C42" i="31"/>
  <c r="J42" i="31"/>
  <c r="G42" i="31"/>
  <c r="K42" i="31"/>
  <c r="H42" i="31"/>
  <c r="L42" i="31"/>
  <c r="M42" i="31"/>
  <c r="D42" i="31"/>
  <c r="N42" i="31"/>
  <c r="L8" i="31"/>
  <c r="H35" i="31"/>
  <c r="L35" i="31"/>
  <c r="G35" i="31"/>
  <c r="N35" i="31"/>
  <c r="J35" i="31"/>
  <c r="E35" i="31"/>
  <c r="K35" i="31"/>
  <c r="I35" i="31"/>
  <c r="D35" i="31"/>
  <c r="M35" i="31"/>
  <c r="F35" i="31"/>
  <c r="C35" i="31"/>
  <c r="L10" i="31"/>
  <c r="L37" i="31"/>
  <c r="H37" i="31"/>
  <c r="N37" i="31"/>
  <c r="J37" i="31"/>
  <c r="C37" i="31"/>
  <c r="K37" i="31"/>
  <c r="D37" i="31"/>
  <c r="E37" i="31"/>
  <c r="I37" i="31"/>
  <c r="F37" i="31"/>
  <c r="G37" i="31"/>
  <c r="M37" i="31"/>
  <c r="L7" i="31"/>
  <c r="J34" i="31"/>
  <c r="K34" i="31"/>
  <c r="F34" i="31"/>
  <c r="E34" i="31"/>
  <c r="G34" i="31"/>
  <c r="D34" i="31"/>
  <c r="H34" i="31"/>
  <c r="L34" i="31"/>
  <c r="M34" i="31"/>
  <c r="N34" i="31"/>
  <c r="I34" i="31"/>
  <c r="L23" i="31"/>
  <c r="C50" i="31"/>
  <c r="H50" i="31"/>
  <c r="I50" i="31"/>
  <c r="J50" i="31"/>
  <c r="K50" i="31"/>
  <c r="E50" i="31"/>
  <c r="D50" i="31"/>
  <c r="F50" i="31"/>
  <c r="L50" i="31"/>
  <c r="G50" i="31"/>
  <c r="M50" i="31"/>
  <c r="N50" i="31"/>
  <c r="L18" i="31"/>
  <c r="L45" i="31"/>
  <c r="N45" i="31"/>
  <c r="E45" i="31"/>
  <c r="F45" i="31"/>
  <c r="G45" i="31"/>
  <c r="H45" i="31"/>
  <c r="J45" i="31"/>
  <c r="K45" i="31"/>
  <c r="C45" i="31"/>
  <c r="I45" i="31"/>
  <c r="M45" i="31"/>
  <c r="D45" i="31"/>
  <c r="L11" i="31"/>
  <c r="C38" i="31"/>
  <c r="G38" i="31"/>
  <c r="H38" i="31"/>
  <c r="I38" i="31"/>
  <c r="J38" i="31"/>
  <c r="K38" i="31"/>
  <c r="E38" i="31"/>
  <c r="F38" i="31"/>
  <c r="L38" i="31"/>
  <c r="D38" i="31"/>
  <c r="M38" i="31"/>
  <c r="N38" i="31"/>
  <c r="L28" i="31"/>
  <c r="L55" i="31"/>
  <c r="N55" i="31"/>
  <c r="C55" i="31"/>
  <c r="J55" i="31"/>
  <c r="D55" i="31"/>
  <c r="E55" i="31"/>
  <c r="F55" i="31"/>
  <c r="G55" i="31"/>
  <c r="I55" i="31"/>
  <c r="M55" i="31"/>
  <c r="H55" i="31"/>
  <c r="K55" i="31"/>
  <c r="L12" i="31"/>
  <c r="L39" i="31"/>
  <c r="N39" i="31"/>
  <c r="E39" i="31"/>
  <c r="F39" i="31"/>
  <c r="H39" i="31"/>
  <c r="G39" i="31"/>
  <c r="J39" i="31"/>
  <c r="K39" i="31"/>
  <c r="I39" i="31"/>
  <c r="M39" i="31"/>
  <c r="C39" i="31"/>
  <c r="D39" i="31"/>
  <c r="L14" i="31"/>
  <c r="L41" i="31"/>
  <c r="G41" i="31"/>
  <c r="N41" i="31"/>
  <c r="C41" i="31"/>
  <c r="J41" i="31"/>
  <c r="E41" i="31"/>
  <c r="K41" i="31"/>
  <c r="H41" i="31"/>
  <c r="D41" i="31"/>
  <c r="I41" i="31"/>
  <c r="F41" i="31"/>
  <c r="M41" i="31"/>
  <c r="L22" i="31"/>
  <c r="L49" i="31"/>
  <c r="H49" i="31"/>
  <c r="N49" i="31"/>
  <c r="J49" i="31"/>
  <c r="C49" i="31"/>
  <c r="K49" i="31"/>
  <c r="M49" i="31"/>
  <c r="I49" i="31"/>
  <c r="D49" i="31"/>
  <c r="E49" i="31"/>
  <c r="F49" i="31"/>
  <c r="G49" i="31"/>
  <c r="L16" i="31"/>
  <c r="L43" i="31"/>
  <c r="N43" i="31"/>
  <c r="C43" i="31"/>
  <c r="J43" i="31"/>
  <c r="K43" i="31"/>
  <c r="H43" i="31"/>
  <c r="F43" i="31"/>
  <c r="I43" i="31"/>
  <c r="D43" i="31"/>
  <c r="E43" i="31"/>
  <c r="G43" i="31"/>
  <c r="M43" i="31"/>
  <c r="L19" i="31"/>
  <c r="I46" i="31"/>
  <c r="J46" i="31"/>
  <c r="K46" i="31"/>
  <c r="H46" i="31"/>
  <c r="D46" i="31"/>
  <c r="C46" i="31"/>
  <c r="E46" i="31"/>
  <c r="F46" i="31"/>
  <c r="L46" i="31"/>
  <c r="G46" i="31"/>
  <c r="M46" i="31"/>
  <c r="N46" i="31"/>
  <c r="L25" i="31"/>
  <c r="C52" i="31"/>
  <c r="I52" i="31"/>
  <c r="J52" i="31"/>
  <c r="H52" i="31"/>
  <c r="K52" i="31"/>
  <c r="D52" i="31"/>
  <c r="E52" i="31"/>
  <c r="G52" i="31"/>
  <c r="L52" i="31"/>
  <c r="F52" i="31"/>
  <c r="M52" i="31"/>
  <c r="N52" i="31"/>
  <c r="G77" i="28"/>
  <c r="J14" i="31"/>
  <c r="I14" i="31"/>
  <c r="I15" i="31"/>
  <c r="I8" i="31"/>
  <c r="I7" i="31"/>
  <c r="J9" i="31"/>
  <c r="I28" i="31"/>
  <c r="J27" i="31"/>
  <c r="I27" i="31"/>
  <c r="I9" i="31"/>
  <c r="J15" i="31"/>
  <c r="J28" i="31"/>
  <c r="I77" i="28"/>
  <c r="J7" i="31"/>
  <c r="F72" i="14"/>
  <c r="F77" i="28"/>
  <c r="J8" i="31"/>
  <c r="C77" i="28"/>
  <c r="N105" i="28"/>
  <c r="C106" i="28" s="1"/>
  <c r="I12" i="31"/>
  <c r="J12" i="31"/>
  <c r="J16" i="31"/>
  <c r="I16" i="31"/>
  <c r="I22" i="31"/>
  <c r="J22" i="31"/>
  <c r="I19" i="31"/>
  <c r="J19" i="31"/>
  <c r="J20" i="31"/>
  <c r="I20" i="31"/>
  <c r="I17" i="31"/>
  <c r="J17" i="31"/>
  <c r="J13" i="31"/>
  <c r="I13" i="31"/>
  <c r="J25" i="31"/>
  <c r="I25" i="31"/>
  <c r="J10" i="31"/>
  <c r="I10" i="31"/>
  <c r="J26" i="31"/>
  <c r="I26" i="31"/>
  <c r="J23" i="31"/>
  <c r="I23" i="31"/>
  <c r="J18" i="31"/>
  <c r="I18" i="31"/>
  <c r="J21" i="31"/>
  <c r="I21" i="31"/>
  <c r="I11" i="31"/>
  <c r="J11" i="31"/>
  <c r="J24" i="31"/>
  <c r="I24" i="31"/>
  <c r="E29" i="31"/>
  <c r="G29" i="31" s="1"/>
  <c r="L29" i="31" s="1"/>
  <c r="M77" i="28"/>
  <c r="H77" i="28"/>
  <c r="E77" i="28"/>
  <c r="K77" i="28"/>
  <c r="L77" i="28"/>
  <c r="D77" i="28"/>
  <c r="J77" i="28"/>
  <c r="O54" i="31" l="1"/>
  <c r="N56" i="31"/>
  <c r="O43" i="31"/>
  <c r="O55" i="31"/>
  <c r="D56" i="31"/>
  <c r="G56" i="31"/>
  <c r="E56" i="31"/>
  <c r="O40" i="31"/>
  <c r="O53" i="31"/>
  <c r="O35" i="31"/>
  <c r="O48" i="31"/>
  <c r="O39" i="31"/>
  <c r="O37" i="31"/>
  <c r="O46" i="31"/>
  <c r="K56" i="31"/>
  <c r="O51" i="31"/>
  <c r="O44" i="31"/>
  <c r="O49" i="31"/>
  <c r="I56" i="31"/>
  <c r="O52" i="31"/>
  <c r="O45" i="31"/>
  <c r="O41" i="31"/>
  <c r="M56" i="31"/>
  <c r="L56" i="31"/>
  <c r="O47" i="31"/>
  <c r="O38" i="31"/>
  <c r="F56" i="31"/>
  <c r="O50" i="31"/>
  <c r="J56" i="31"/>
  <c r="H56" i="31"/>
  <c r="O34" i="31"/>
  <c r="C56" i="31"/>
  <c r="O42" i="31"/>
  <c r="O36" i="31"/>
  <c r="I106" i="28"/>
  <c r="G106" i="28"/>
  <c r="N77" i="28"/>
  <c r="F106" i="28"/>
  <c r="I29" i="31"/>
  <c r="J29" i="31"/>
  <c r="N106" i="28"/>
  <c r="M106" i="28"/>
  <c r="L106" i="28"/>
  <c r="H106" i="28"/>
  <c r="K106" i="28"/>
  <c r="E106" i="28"/>
  <c r="J106" i="28"/>
  <c r="D106" i="28"/>
  <c r="O56" i="31" l="1"/>
</calcChain>
</file>

<file path=xl/sharedStrings.xml><?xml version="1.0" encoding="utf-8"?>
<sst xmlns="http://schemas.openxmlformats.org/spreadsheetml/2006/main" count="1014" uniqueCount="481">
  <si>
    <t>euroa</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</si>
  <si>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</si>
  <si>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</si>
  <si>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</si>
  <si>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</si>
  <si>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</si>
  <si>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</si>
  <si>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</si>
  <si>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</si>
  <si>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</si>
  <si>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</si>
  <si>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</si>
  <si>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</si>
  <si>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</si>
  <si>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</si>
  <si>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</si>
  <si>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</si>
  <si>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</si>
  <si>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</si>
  <si>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</si>
  <si>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</si>
  <si>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</si>
  <si>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</si>
  <si>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</si>
  <si>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</si>
  <si>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</si>
  <si>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</si>
  <si>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</si>
  <si>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</si>
  <si>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</si>
  <si>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</si>
  <si>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</si>
  <si>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</si>
  <si>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</si>
  <si>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</si>
  <si>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</si>
  <si>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</si>
  <si>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</si>
  <si>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</si>
  <si>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</si>
  <si>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</si>
  <si>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Vantaa ja Kerava</t>
  </si>
  <si>
    <t>Terveydenhuollon tarvetekijät</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</si>
  <si>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</si>
  <si>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</si>
  <si>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</si>
  <si>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</si>
  <si>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</si>
  <si>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</si>
  <si>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</si>
  <si>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</si>
  <si>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</si>
  <si>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</si>
  <si>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</si>
  <si>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</si>
  <si>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</si>
  <si>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</si>
  <si>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</si>
  <si>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</si>
  <si>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</si>
  <si>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</si>
  <si>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</si>
  <si>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</si>
  <si>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</si>
  <si>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</si>
  <si>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</si>
  <si>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</si>
  <si>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</si>
  <si>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</si>
  <si>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</si>
  <si>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</si>
  <si>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</si>
  <si>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</si>
  <si>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</si>
  <si>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</si>
  <si>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</si>
  <si>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</si>
  <si>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</si>
  <si>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</si>
  <si>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</si>
  <si>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</si>
  <si>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</si>
  <si>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</si>
  <si>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</si>
  <si>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</si>
  <si>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</si>
  <si>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</si>
  <si>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</si>
  <si>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</si>
  <si>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</si>
  <si>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</si>
  <si>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</si>
  <si>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</si>
  <si>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</si>
  <si>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</si>
  <si>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</si>
  <si>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</si>
  <si>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</si>
  <si>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</si>
  <si>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</si>
  <si>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</si>
  <si>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</si>
  <si>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</si>
  <si>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</si>
  <si>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</si>
  <si>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</si>
  <si>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</si>
  <si>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</si>
  <si>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</si>
  <si>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</si>
  <si>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</si>
  <si>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</si>
  <si>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</si>
  <si>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</si>
  <si>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</si>
  <si>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</si>
  <si>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</si>
  <si>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</si>
  <si>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</si>
  <si>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</si>
  <si>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</si>
  <si>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</si>
  <si>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</si>
  <si>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</si>
  <si>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</si>
  <si>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</si>
  <si>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</si>
  <si>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</si>
  <si>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</si>
  <si>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</si>
  <si>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</si>
  <si>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</si>
  <si>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</si>
  <si>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</si>
  <si>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</si>
  <si>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</si>
  <si>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</si>
  <si>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</si>
  <si>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</si>
  <si>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</si>
  <si>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</si>
  <si>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</si>
  <si>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</si>
  <si>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</si>
  <si>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</si>
  <si>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</si>
  <si>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</si>
  <si>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</si>
  <si>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</si>
  <si>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</si>
  <si>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</si>
  <si>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</si>
  <si>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</si>
  <si>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</si>
  <si>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</si>
  <si>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</si>
  <si>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</si>
  <si>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</si>
  <si>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</si>
  <si>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</si>
  <si>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</si>
  <si>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</si>
  <si>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</si>
  <si>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</si>
  <si>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</si>
  <si>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</si>
  <si>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</si>
  <si>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</si>
  <si>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</si>
  <si>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Terveydenhuollon palvelutarvekerroin</t>
  </si>
  <si>
    <t>Vanhustenhuollon palvelutarvekerroin</t>
  </si>
  <si>
    <t>Sosiaalihuollon palvelutarvekerroin</t>
  </si>
  <si>
    <t>Saaristokuntien saaristossa asuvan väestön määrä</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</si>
  <si>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</si>
  <si>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</si>
  <si>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</si>
  <si>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</si>
  <si>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</si>
  <si>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</si>
  <si>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kohdennus</t>
  </si>
  <si>
    <t>Yo-lisä</t>
  </si>
  <si>
    <t>Yo-sairaala-alueen asuakasluku</t>
  </si>
  <si>
    <t>Nainen</t>
  </si>
  <si>
    <t>Muistisairaudet ja Alzheimerin tauti</t>
  </si>
  <si>
    <t xml:space="preserve">Keuhkokuume </t>
  </si>
  <si>
    <t>Hengityselinten krooninen toimintavajaus</t>
  </si>
  <si>
    <t>Hammaskaries ja hammasytimen ja hampaanjuuren kärkeä ympäröivien kudosten sairaudet</t>
  </si>
  <si>
    <t>Nivelreuma</t>
  </si>
  <si>
    <t>Hedelmättömyys</t>
  </si>
  <si>
    <t>Transsukupuolisuus ja määrittämätön sukupuoli-identiteetin häiriö</t>
  </si>
  <si>
    <t>Näkövammaisuus (ne, joilla ei tietoa WHO-luokituksesta)</t>
  </si>
  <si>
    <t>Keuhkokuume</t>
  </si>
  <si>
    <t>Olkapään vaivat</t>
  </si>
  <si>
    <t>Polven sisäiset viat</t>
  </si>
  <si>
    <t>Synnytys</t>
  </si>
  <si>
    <t>Kokonaispinta-ala, km2</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</si>
  <si>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</si>
  <si>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</si>
  <si>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</si>
  <si>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</si>
  <si>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</si>
  <si>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</si>
  <si>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</si>
  <si>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</si>
  <si>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</si>
  <si>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</si>
  <si>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</si>
  <si>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</si>
  <si>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</si>
  <si>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</si>
  <si>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Ajokorttitarkastusten rajaaminen julkisen palveluvalikoiman ulkopuolelle (Lisätoimet 2024)</t>
  </si>
  <si>
    <t>Laskennallinen rahoitus yhteensä vuonna 2025</t>
  </si>
  <si>
    <t>Yhteensä, e/as.</t>
  </si>
  <si>
    <t>Määräytymistekijät ja kertoimet</t>
  </si>
  <si>
    <t>TH:n tarvekerroin painotettu asukasluvulla</t>
  </si>
  <si>
    <t>VH:n tarvekerroin painotettu  asukasluvulla</t>
  </si>
  <si>
    <t>SH:n tarvekerroin painotettu asukasluvulla</t>
  </si>
  <si>
    <t>Sote-tehtävämuutokset, yhteensä</t>
  </si>
  <si>
    <t>Pela-tehtävämuutokset, yhteensä</t>
  </si>
  <si>
    <t>Kriteerin perushinta</t>
  </si>
  <si>
    <t>Hyte-kerroin</t>
  </si>
  <si>
    <t>Lisätietoja:</t>
  </si>
  <si>
    <t>02955 30560 / etunimi.sukunimi@gov.fi</t>
  </si>
  <si>
    <t>Manner-Suomi</t>
  </si>
  <si>
    <t>Rokotuskattavuus</t>
  </si>
  <si>
    <t>Lonkkamurtumat</t>
  </si>
  <si>
    <t>NEET</t>
  </si>
  <si>
    <t>Toimeentulotuki</t>
  </si>
  <si>
    <t>Työkyvyttömyys</t>
  </si>
  <si>
    <t>Asukasluku 2024</t>
  </si>
  <si>
    <t>Rahoituksen taso vuonna 2026</t>
  </si>
  <si>
    <t>Laskennallinen sote-rahoitus (sis. jälkikäteistarkistus) vuonna 2025</t>
  </si>
  <si>
    <t>Laskennallinen pela-rahoitus (sis. jälkikäteistarkistus) vuonna 2025</t>
  </si>
  <si>
    <t>Laskennallinen sote-rahoitus vuonna 2026</t>
  </si>
  <si>
    <t>Laskennallinen pela-rahoitus vuonna 2026</t>
  </si>
  <si>
    <t>Laskennallinen rahoitus yhteensä vuonna 2026</t>
  </si>
  <si>
    <t>Siirtymätasaukset vuonna 2026</t>
  </si>
  <si>
    <t>Rahoitus yhteensä vuonna 2026</t>
  </si>
  <si>
    <t>Laskennallinen rahoitus vuonna 2026, euroa</t>
  </si>
  <si>
    <t>Siirtymätasaus vuonna 2026, euroa</t>
  </si>
  <si>
    <t>Vuoden 2026 rahoitus yhteensä, euroa</t>
  </si>
  <si>
    <t>Vuoden 2026 rahoitus yhteensä, euroa/asukas</t>
  </si>
  <si>
    <t>Rahoituksen kasvu vuodelle 2026, euroa</t>
  </si>
  <si>
    <t>Yhteenveto hyvinvointialueiden vuoden 2026 rahoituksesta</t>
  </si>
  <si>
    <t>Yhteenveto hyvinvointialueiden rahoituksesta vuodelle 2026</t>
  </si>
  <si>
    <t>Laskennallisen sote-rahoituksen määräytymistekijät hyvinvointialueittain, 2024</t>
  </si>
  <si>
    <t>TH:n tarvekerroin 2023</t>
  </si>
  <si>
    <t>VH:n tarvekerroin 2023</t>
  </si>
  <si>
    <t>SH:n tarvekerroin 2023</t>
  </si>
  <si>
    <t>Hyte-kerroin hyvinvointialueittain</t>
  </si>
  <si>
    <t>Vuoden 2026 tasoon korotettu sote-rahoitus</t>
  </si>
  <si>
    <t>Tehtävämuutokset vuonna 2026</t>
  </si>
  <si>
    <t>Sote-nettokustannukset</t>
  </si>
  <si>
    <t>Pela-nettokustannukset</t>
  </si>
  <si>
    <t>Sote-rahoitus ja sote-nettokustannus erotus</t>
  </si>
  <si>
    <t>Pela-rahoitus ja pela-nettokustannus erotus</t>
  </si>
  <si>
    <t>Nettokustannukset yhteensä</t>
  </si>
  <si>
    <t>Alueille myönnetty rahoitus yhteensä</t>
  </si>
  <si>
    <t>Alueille myönnetty sote-rahoitus yhteensä</t>
  </si>
  <si>
    <t>Alueille myönnetty pela-rahoitus yhteensä</t>
  </si>
  <si>
    <t>Rahoitus ja nettokustannus erotus yhteensä</t>
  </si>
  <si>
    <t>Jälkikäteistarkistuksen vuosittainen lisäys/vähennys yhteensä</t>
  </si>
  <si>
    <t>Rahoitukseen sisältyvä jälkikäteistarkistus yhteensä</t>
  </si>
  <si>
    <t>Sote-rahoitukseen vuosittain lisättävä tai siitä vähennettävä jälkikäteistarkistus</t>
  </si>
  <si>
    <t>Pela-rahoitukseen vuosittain lisättävä tai siitä vähennettävä jälkikäteistarkistus</t>
  </si>
  <si>
    <t>Terveydenhuollon, vanhustenhuollon ja sosiaalihuollon tarvekertoimissa huomioitavat tarvetekijät</t>
  </si>
  <si>
    <t>Rahoituksen jälkikäteistarkistus vuonna 2026</t>
  </si>
  <si>
    <t>Jälkikäteistarkistuksen laskenta vuosina 2025 ja 2026</t>
  </si>
  <si>
    <t>Alle 1-vuotias, nainen</t>
  </si>
  <si>
    <t>1-6-vuotias, nainen</t>
  </si>
  <si>
    <t>7-12-vuotias, nainen</t>
  </si>
  <si>
    <t>13-18-vuotias, nainen</t>
  </si>
  <si>
    <t>19-25-vuotias, nainen</t>
  </si>
  <si>
    <t>26-30-vuotias, nainen</t>
  </si>
  <si>
    <t>31-35-vuotias, nainen</t>
  </si>
  <si>
    <t>36-40-vuotias, nainen</t>
  </si>
  <si>
    <t>41-45-vuotias, nainen</t>
  </si>
  <si>
    <t>46-50-vuotias, nainen</t>
  </si>
  <si>
    <t>51-55-vuotias, nainen</t>
  </si>
  <si>
    <t>56-60-vuotias, nainen</t>
  </si>
  <si>
    <t>61-65-vuotias, nainen</t>
  </si>
  <si>
    <t>66-70-vuotias, nainen</t>
  </si>
  <si>
    <t>71-75-vuotias, nainen</t>
  </si>
  <si>
    <t>76-80-vuotias, nainen</t>
  </si>
  <si>
    <t>81-85-vuotias, nainen</t>
  </si>
  <si>
    <t>86-90-vuotias, nainen</t>
  </si>
  <si>
    <t>91-95-vuotias, nainen</t>
  </si>
  <si>
    <t>Yli 96-vuotias, nainen</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</si>
  <si>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</si>
  <si>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</si>
  <si>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</si>
  <si>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</si>
  <si>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</si>
  <si>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</si>
  <si>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</si>
  <si>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</si>
  <si>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</si>
  <si>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</si>
  <si>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</si>
  <si>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</si>
  <si>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</si>
  <si>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71-75-vuotias, mies</t>
  </si>
  <si>
    <t>76-80-vuotias, mies</t>
  </si>
  <si>
    <t>81-85-vuotias, mies</t>
  </si>
  <si>
    <t>86-90-vuotias, mies</t>
  </si>
  <si>
    <t>91-95-vuotias, mies</t>
  </si>
  <si>
    <t>Yli 96-vuotias, mies</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</si>
  <si>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</si>
  <si>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</si>
  <si>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</si>
  <si>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</si>
  <si>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</si>
  <si>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</si>
  <si>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</si>
  <si>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</si>
  <si>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</si>
  <si>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</si>
  <si>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 xml:space="preserve">Silmän, keskushermoston ja aivohermojen pahanlaatuiset kasvaimet </t>
  </si>
  <si>
    <t xml:space="preserve">Kilpirauhasen ja muiden umpirauhasten pahanlaatuiset kasvaimet </t>
  </si>
  <si>
    <t>Pahanlaatuiset kasvaimet, joiden sijaintipaikka on epäselvä, sekundaarinen tai m</t>
  </si>
  <si>
    <t>Imukudoksen, verta muodostavien kudosten ja lähisukuisten kudosten pahanlaatuise</t>
  </si>
  <si>
    <t>Pintasyövät</t>
  </si>
  <si>
    <t xml:space="preserve">Hengityselinten krooninen toimintavajaus </t>
  </si>
  <si>
    <t>Hampaan kiinnityskudosten sairaudet</t>
  </si>
  <si>
    <t>WHO:n näkövammaluokitus, 9. aste (määrittelemätön)</t>
  </si>
  <si>
    <t>Synnytyksen ennenaikaisuus päivinä</t>
  </si>
  <si>
    <t>Synnytyksen ennenaikaisuus päivinä, 2. potenssi</t>
  </si>
  <si>
    <t>Toinen aste korkein koulutus</t>
  </si>
  <si>
    <t>Korkeakoulutus</t>
  </si>
  <si>
    <t>Yksinasuja, alle 75-vuotias</t>
  </si>
  <si>
    <t>Yksinasuja, 75-84-vuotias</t>
  </si>
  <si>
    <t>Yksinasuja, 85-89-vuotias</t>
  </si>
  <si>
    <t>Yksinasuja, yli 89-vuotias</t>
  </si>
  <si>
    <t>Taustamaa muu kuin Suomi</t>
  </si>
  <si>
    <t>Matka-aika erikoissairaanhoidon päivystykseen minuutteina</t>
  </si>
  <si>
    <t>Matka-aika erikoissairaanhoidon päivystykseen minuutteina, 2. potenssi</t>
  </si>
  <si>
    <t>Vakiotermi</t>
  </si>
  <si>
    <t>Regressiokerroin</t>
  </si>
  <si>
    <t>65-70-vuotias, nainen</t>
  </si>
  <si>
    <t>Alle 1-vuotias</t>
  </si>
  <si>
    <t>1-6-vuotias</t>
  </si>
  <si>
    <t>7-12-vuotias</t>
  </si>
  <si>
    <t>13-18-vuotias</t>
  </si>
  <si>
    <t>19-25-vuotias</t>
  </si>
  <si>
    <t>26-30-vuotias</t>
  </si>
  <si>
    <t>31-35-vuotias</t>
  </si>
  <si>
    <t>36-40-vuotias</t>
  </si>
  <si>
    <t>46-50-vuotias</t>
  </si>
  <si>
    <t>51-55-vuotias</t>
  </si>
  <si>
    <t>56-60-vuotias</t>
  </si>
  <si>
    <t>61-65-vuotias</t>
  </si>
  <si>
    <t>66-70-vuotias</t>
  </si>
  <si>
    <t>71-75-vuotias</t>
  </si>
  <si>
    <t>76-80-vuotias</t>
  </si>
  <si>
    <t>81-85-vuotias</t>
  </si>
  <si>
    <t>86-90-vuotias</t>
  </si>
  <si>
    <t>91-95-vuotias</t>
  </si>
  <si>
    <t>Yli 96-vuotias</t>
  </si>
  <si>
    <t xml:space="preserve">Sarakkeissa J, K ja L on THL:n tuottamat aluekohtaiset tarvekertoimet, jotka on huomioitu SOTE laskennallinen rahoitus-välilehdellä. </t>
  </si>
  <si>
    <t>SH:n tarvekerroin: Keskiarvo 2022–2023</t>
  </si>
  <si>
    <t>VH:n tarvekerroin: Keskiarvo 2022–2023</t>
  </si>
  <si>
    <t>TH:n tarvekerroin: Keskiarvo 2022–2023</t>
  </si>
  <si>
    <t>Vuosien 2022 ja 2023 tietojen perusteella lasketut palvelutarvekertoimet</t>
  </si>
  <si>
    <t>Rahoituslaskelmassa käytettävien palvelutarvekertoimien laskentataulukko</t>
  </si>
  <si>
    <t>Terveydenhuollon, vanhustenhuollon ja sosiaalihuollon palvelutarvekertoimet hyvinvointialueittain</t>
  </si>
  <si>
    <t>Valtiovarainministeriö, Hyvinvointialueiden ohjausosasto</t>
  </si>
  <si>
    <t>02955 30472 / etunimi.sukunimi@gov.fi</t>
  </si>
  <si>
    <t>Prosessi- ja tulosindikaattorien keskiarvo</t>
  </si>
  <si>
    <t>Tuentarve 4</t>
  </si>
  <si>
    <t>Tuentarve 8</t>
  </si>
  <si>
    <t>Mini-interventio</t>
  </si>
  <si>
    <t>Työttömien terveystarkastukset</t>
  </si>
  <si>
    <t>Prosessi-indikaattorien keskiarvo</t>
  </si>
  <si>
    <t>Tulosindikaattorien keskiarvo</t>
  </si>
  <si>
    <t>Indikaattorien keskiarvo</t>
  </si>
  <si>
    <t>Rahoituslaskelmassa käytettävä TH:n palvelutarvekerroin</t>
  </si>
  <si>
    <t>Rahoituslaskelmassa käytettävä VH:n palvelutarvekerroin</t>
  </si>
  <si>
    <t>Rahoituslaskelmassa käytettävä SH:n palvelutarvekerroin</t>
  </si>
  <si>
    <t>Rahoituslaskelmassa käytettävä hyte-kerroin</t>
  </si>
  <si>
    <t>Rahoituslaskelmassa käytettävän hyte-kertoimen laskentataulukko</t>
  </si>
  <si>
    <t>Keskiarvo</t>
  </si>
  <si>
    <t>Painotettu keskiarvo</t>
  </si>
  <si>
    <t>Koko laskennallinen sote-rahoitus</t>
  </si>
  <si>
    <t>Terveydenhuolto</t>
  </si>
  <si>
    <t>Sosiaalihuolto</t>
  </si>
  <si>
    <t>Vanhustenhuolto</t>
  </si>
  <si>
    <t>Kriteerin osuus rahoituslakiesityksen mukaisesti</t>
  </si>
  <si>
    <t>Kriteerille kohdistuva laskennallinen sote-rahoitus yhteensä</t>
  </si>
  <si>
    <t xml:space="preserve">Kriteerin osuus vuoden 2026 laskennallisesta sote-rahoituksesta </t>
  </si>
  <si>
    <t>Laskennallisen pelastustoimen rahoituksen määräytymistekijät hyvinvointialueittain</t>
  </si>
  <si>
    <t>Lähde: Tilastokeskus 4.4.2025 (vuoden 2024 väestörakennetilasto)</t>
  </si>
  <si>
    <t>Sote-rahoitukseen sisältyvä jälkikäteistarkistuksen määrä yhteensä</t>
  </si>
  <si>
    <t>Pela-rahoitukseen sisältyvä jälkikäteistarkistuksen määrä yhteensä</t>
  </si>
  <si>
    <t>Tällä välilehdellä kuvataan hyvinvointialueiden vuoden 2026 rahoituksen muodostuminen koko maan tasolla.</t>
  </si>
  <si>
    <t>Jälkikäteistarkistuksen vuosittainen lisäys/vähennys, sote</t>
  </si>
  <si>
    <t>Jälkikäteistarkistuksen vuosittainen lisäys/vähennys, pela</t>
  </si>
  <si>
    <t>Jälkikäteistarkistuksen vuosittainen lisäys/vähennys, yhteensä</t>
  </si>
  <si>
    <t>Laskennallinen sote-rahoitus yhteensä vuonna 2026</t>
  </si>
  <si>
    <t>Sosiaali- ja terveydenhuollon laskennallinen rahoitus</t>
  </si>
  <si>
    <t>Vuoden 2026 jälkikäteistarkistus omavastuulla</t>
  </si>
  <si>
    <t>Vuoden 2026 jälkikäteistarkistus ilman omavastuuta</t>
  </si>
  <si>
    <t>Omavastuun rahoitusta lisäävä vaikutus v. 2026</t>
  </si>
  <si>
    <t>Käyttämättä jääneen palvelun maksun korotus</t>
  </si>
  <si>
    <t>Omaishoidon ja perhehoidon palkkiotason nostaminen</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</si>
  <si>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 Tarvekertoimet lasketaan erikseen terveydenhuollolle, vanhustenhuollolle ja sosiaalihuollolle. Alla on kuvattu tutkimuksessa käytetyt tarvetekijät ja niiden regressiokertoimet.</t>
    </r>
  </si>
  <si>
    <t>Rahoitukseen sisältyvä jälkikäteistarkistus yhteensä vuonna 2026, euroa</t>
  </si>
  <si>
    <t>Kuntouttavan työtoiminnan aktivointisuunnitelmien hallinnollinen keventäminen (Lisätoimet 2025)</t>
  </si>
  <si>
    <t>Demokratiarahan vähentäminen (Lisätoimet 2025)</t>
  </si>
  <si>
    <t>Vammaispalvelulain muuttaminen PeV:n elämänvaihetta koskevien linjausten mukaiseksi (Lisätoimet 2025)</t>
  </si>
  <si>
    <t>2024</t>
  </si>
  <si>
    <r>
      <t>Rahoituksen taso tarkistetaan rahoituslain 10 §:n perusteella vastaamaan koko maan tasolla toteutuneita kustannuksia jälkikäteen kahden vuoden viiveellä. 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t>
    </r>
    <r>
      <rPr>
        <b/>
        <sz val="11"/>
        <color theme="1"/>
        <rFont val="Arial"/>
        <family val="2"/>
        <scheme val="major"/>
      </rPr>
      <t xml:space="preserve"> Vuodesta 2026 eteenpäin jälkikäteistarkistus määritellään lisäyksenä tai vähennyksenä suhteessa rahoituksen pohjassa jo olevaan jälkikäteistarkistuksen määrään.  </t>
    </r>
  </si>
  <si>
    <t>Rahoituslain mukaisesti jälkikäteistarkistuksessa huomioidaan portaittain kasvava omavastuu vuodesta 2026 alkaen. Omavastuuosuus lasketaan vain jälkikäteistarkistuksena tehtävästä vuosittaisesta rahoituksen lisäyksestä tai vähennyksestä, ei koko rahoitukseen sisältyvästä jälkikäteistarkistuksen määrästä. Omavastuuosuus on 5 prosenttia vuodelle 2026 jälkikäteistarkistuksena tehtävästä vähennyksestä (tai lisäyksestä).</t>
  </si>
  <si>
    <t xml:space="preserve">Keliakiakorvaus, siirto rahoitettavaksi toimeentulotuesta </t>
  </si>
  <si>
    <t>Keliakiakorvauksen laajentaminen, lääkärinlausuntojen lisääntyminen</t>
  </si>
  <si>
    <t>Palvelutarve (sis. 0,2 %-yksikön korotus ja 80% rajaus)</t>
  </si>
  <si>
    <t>Roosa Valkama, erityisasiantuntija</t>
  </si>
  <si>
    <t>Vuoden 2025 rahoitus yhteensä, euroa (24.6.2025)</t>
  </si>
  <si>
    <t>Saaristokuntien saaristossa asuvien määrä päivitetty 22.9.2025.</t>
  </si>
  <si>
    <t>Laskennallinen pela-rahoitus</t>
  </si>
  <si>
    <t>Vuoden 2026 tasoon korotettu pela-rahoitus</t>
  </si>
  <si>
    <t>Laskennallinen pela-rahoitus yhteensä 2026</t>
  </si>
  <si>
    <t>Kriteerille kohdistuva laskennallinen pela-rahoitus yhteensä</t>
  </si>
  <si>
    <t xml:space="preserve">Kriteerin osuus vuoden 2026 laskennallisesta pela-rahoituksesta </t>
  </si>
  <si>
    <t>Tehtävämuutokset, yhteensä</t>
  </si>
  <si>
    <t>Hyvinvointialueindeksi (toteuma)</t>
  </si>
  <si>
    <t>Hyvinvointialueindeksi (ennuste)</t>
  </si>
  <si>
    <t>Sote-rahoituksen tehtävämuutokset v. 2026 yhteensä</t>
  </si>
  <si>
    <t>Pela-rahoituksen tehtävämuutokset v. 2026 yhteensä</t>
  </si>
  <si>
    <t>Vuoden 2026 rahoituksessa huomioitavat tekijät</t>
  </si>
  <si>
    <r>
      <t xml:space="preserve">Alla on kuvattu hyvinvointialueiden vuoden 2026 rahoitus, joka muodostuu laskennallisesta rahoituksesta ja siirtymätasauksesta. </t>
    </r>
    <r>
      <rPr>
        <sz val="11"/>
        <color theme="1"/>
        <rFont val="Arial"/>
        <family val="2"/>
        <scheme val="major"/>
      </rPr>
      <t>Siirtymätasauksen laskenta kuvataan erillisessä laskelmassa (ks. Hyvinvointialueiden rahoituksen siirtymäkausi 2024-2029, 22.9.2025).</t>
    </r>
  </si>
  <si>
    <t>Hyte-kertoimen laskennassa käytettävät indikaattorit (lähde: THL, 1.9.2025)</t>
  </si>
  <si>
    <t>Lähteet: Tilastokeskus 4.4.2025 (vuoden 2024 väestörakennetilasto), Maanmittauslaitos 1.1.2025 (kokonaispinta-ala), Sisäministeriö (riskiruudut)</t>
  </si>
  <si>
    <t>Kaarle Myllyneva, finanssiasiantuntija</t>
  </si>
  <si>
    <t>RL I (2024)</t>
  </si>
  <si>
    <t>RL II (2024)</t>
  </si>
  <si>
    <t>RL III-IV (2025)</t>
  </si>
  <si>
    <t>Vuoden 2026 rahoituksessa on huomioitu 1.1.2026 voimaan tulevat rahoituslain ja -asetuksen muutokset, kuten hyvinvoinnin ja terveyden edistämisen määräytymistekijän osuuden nosto noin 1,5 prosenttiin, tarvekertoimien huomioiminen kahden vuoden tarvekertoimien keskiarvona, siirtymätasauksia koskevat kertaluontoiset säästötoimenpiteet sekä pelastustoimen riskikerrointa ja hyte-kertoimen laskentaa koskevat tarkennukset.</t>
  </si>
  <si>
    <t xml:space="preserve">Jälkikäteistarkistus lasketaan erikseen soten ja pelan osalta. Erotukset korotetaan soten osalta palvelutarpeella ja hva-indeksillä ja pelan osalta hva-indeksillä vuoden 2026 tasolle. Jälkikäteistarkistus korotetaan viimeisimpien tietojen mukaisen hyvinvointialueindeksin perusteella. Jälkikäteistarkistuksen kautta tehtävä rahoituksen tason tarkistus jakautuu kaikille hyvinvointialueille rahoituslain määräytymistekijöiden mukaisesti. </t>
  </si>
  <si>
    <r>
      <t>Vuosina 2023–2025 hyte-määräytymistekijällä jaettava rahoitus on kohdennettu asukasmäärän perusteella. Vuodesta 2026 alkaen rahoitus kohdennetaan hyte-kertoimen mukaisesti. Tällä välilehdellä kuvattu hyte-kerroin perustuu THL:n alueiden 31.8.2025 toimittamien tietojen perusteella laskemaan hyte-kertoimeen. Hyte-kertoimen laskennassa on huomioitu 1.1.2026 voimaan tulevan rahoitusasetuksen mukaiset tulosindikaattorien laskentatavan ja toimeentulotuki-indikaattorin muutokse</t>
    </r>
    <r>
      <rPr>
        <sz val="12"/>
        <rFont val="Arial"/>
        <family val="2"/>
        <scheme val="major"/>
      </rPr>
      <t>t.</t>
    </r>
  </si>
  <si>
    <t>Pelastustoimen tehtävien rahoituksen pohjana on vuoden 2025 rahoituksen taso, joka korotetaan vuoden 2026 tasolle hintojen muutoksen perusteella. Pelastustoimen laskennalliseen rahoitukseen sisältyy vuonna 2026 jälkikäteistarkistusta yhteensä n. 46 milj. euroa. Pelastustoimen laskennallisen rahoituksen määräytymistekijät ovat asukasperusteisuus, asukastiheys ja pelastustoimen riskitekijät. Pelastustoimen riskikertoimen laskennassa on huomioitu 1.1.2026 voimaan tulevien rahoituslain ja -asetuksen mukaiset muutokset.</t>
  </si>
  <si>
    <t>Vuoden 2025 rahoituksessa käytetty TH:n tarvekerroin 2022</t>
  </si>
  <si>
    <r>
      <t>Rahoituksen ennakoitavuuden parantamiseksi vuoden 2026 rahoituksessa tarvekertoimet lasketaan vuosien 2022 ja 2023 tarvekertoimien keskiarvon perusteella. Vuoden 2023 tietojen perusteella lasketut tarvekertoimet on päivitetty kesäkuussa 2025. Vuoden 2022 tarvekerroin vastaa vuoden 2025 rahoituksessa käytettyä tarvekerrointa. Tarvekerroinlaskelmat on julkaistu THL:n verkkosivuilla (</t>
    </r>
    <r>
      <rPr>
        <i/>
        <sz val="12"/>
        <rFont val="Arial"/>
        <family val="2"/>
        <scheme val="major"/>
      </rPr>
      <t>https://thl.fi/aiheet/sote-palvelujen-johtaminen/rahoitus-ja-kustannukset/hyvinvointialueiden-sote-palvelujen-tarveperustainen-rahoitus</t>
    </r>
    <r>
      <rPr>
        <sz val="12"/>
        <rFont val="Arial"/>
        <family val="2"/>
        <scheme val="major"/>
      </rPr>
      <t>). Kertoimet on laskettu hyvinvointialueiden rahoituslain mukaisten tarvetekijöiden ja niiden regressiokertoimien perusteella (ks. Tarvetekijät-välilehti).</t>
    </r>
  </si>
  <si>
    <t>Siirtymätasausten laskenta on kuvattu erillisessä työkirjassa (ks. Hyvinvointialueiden rahoituksen siirtymäkausi 2024-2029, 22.9.2025). Vuoden 2026 rahoituksessa huomioitava hyte-kerroin on päivitetty aluekohtaisiin siirtymätasauksiin.</t>
  </si>
  <si>
    <t>Vuoden 2026 laskennallisen rahoituksen pohjana on vuoden 2025 laskennallisen rahoituksen taso, joka on yhteensä n. 26,3 mrd. euroa. Rahoitus on korotettu rahoituslain mukaisen palvelutarpeen kasvuarvion (n. 251 milj. euroa) ja hyvinvointialueiden hintaindeksin syksyn 2025 ennusteen (3,25 %) mukaisen kustannustason muutoksen (n. 864 milj. euroa) perusteella vuoden 2026 tasolle. Vuoden 2026 rahoituksessa on otettu huomioon valtion vuoden 2026 talousarvioesityksen mukaiset toimenpiteet vuodelle 2026. Vuonna 2025 rahoitukseen lisättyä jälkikäteistarkistusta vähennetään (n. 200 milj. euroa) vuonna 2026. Koko maan tasolla muodostettu laskennallinen rahoitus jaetaan alueille rahoituslain määräytymistekijöiden perusteella.</t>
  </si>
  <si>
    <r>
      <t xml:space="preserve">Alla olevassa taulukossa kuvattu vuoden 2026 jälkikäteistarkistus perustuu alueiden </t>
    </r>
    <r>
      <rPr>
        <b/>
        <sz val="11"/>
        <rFont val="Arial"/>
        <family val="2"/>
        <scheme val="minor"/>
      </rPr>
      <t xml:space="preserve">8.8.2025 mennessä raportoimiin vuoden 2024 toimialakohtaisiin tilinpäätöstietoihin. </t>
    </r>
    <r>
      <rPr>
        <sz val="11"/>
        <rFont val="Arial"/>
        <family val="2"/>
        <scheme val="minor"/>
      </rPr>
      <t>Vuonna 2026 rahoitukseen tehtävä jälkikäteistarkistus määritellään vertaamalla vuoden 2024 tilikauden tuloksen muutosta vuoteen 2023.</t>
    </r>
    <r>
      <rPr>
        <b/>
        <sz val="11"/>
        <rFont val="Arial"/>
        <family val="2"/>
        <scheme val="minor"/>
      </rPr>
      <t xml:space="preserve"> </t>
    </r>
    <r>
      <rPr>
        <sz val="11"/>
        <rFont val="Arial"/>
        <family val="2"/>
        <scheme val="minor"/>
      </rPr>
      <t>Vuoden 2024 yhteenlaskettu tilikauden tulos (n. –1,1 mrd. euroa) on parantunut vuodesta 2023 (n. –1,3 mrd. euroa). Vuoden 2026 jälkikäteistarkistuksessa rahoituksen pohjaan vuonna lisättyä jälkikäteistarkistusta siten vähennetään noin 200 milj. euroa. Jälkikäteistarkistuksena tehtävä vähennys on omavastuuosudella 5 prosenttia pienempi vuonna 2026. Omavastuuosuus siten lisää rahoitusta noin 10 milj. euroa vuonna 2026. Vuoden 2026 rahoituksen tasoon sisältyy jälkikäteistarkistusta yhteensä noin 1,27 mrd. euroa (huomioituna korotus vuoden 2026 tasolle hyvinvointialueindeksillä ja palvelutarpeen kasvulla).</t>
    </r>
  </si>
  <si>
    <t>Sosiaali- ja terveydenhuollon tehtävien rahoituksen pohjana on vuoden 2025 rahoitus, joka korotetaan vuoden 2026 tasolle palvelutarpeen, hintojen muutoksen ja tehtävämuutosten perusteella. Laskennalliseen sote-rahoitukseen sisältyy vuonna 2026 jälkikäteistarkistusta yhteensä n. 1,2 mrd. euroa. Sosiaali- ja terveydenhuollon tehtävien laskennallisen rahoituksen määräytymistekijät ovat asukasperusteisuus, sote-palvelutarve (joka muodostuu terveydenhuollon, vanhustenhuollon ja sosiaalihuollon palvelutarpeista), vieraskielisyys, kaksikielisyys, asukastiheys, saaristoisuus, saamenkielisyys, hyte-kerroin ja yliopistosairaalalisä. Hyte-perusteinen rahoitus kohdennetaan hyvinvointialueille hyte-kertoimen perusteella vuodesta 2026 alkaen.</t>
  </si>
  <si>
    <t>Vammaispalvelulain soveltamisalan muutos (Lisätoimet 2024 ja StVM 28/2024)</t>
  </si>
  <si>
    <t>Hedelmöityshoitojen haittakorvauksen korotus</t>
  </si>
  <si>
    <t xml:space="preserve">Toisiolain muuttaminen, tietoaineistojen käsittelyn laajentaminen </t>
  </si>
  <si>
    <t>Terveystarkastuksista aiheutuva säästö</t>
  </si>
  <si>
    <t>Iäkkäiden ympärivuorokautisen hoivan henkilöstömitoituksen keventäminen teknologiaa hyödyntäen (HO 2023) ja teknologian hyödyntäminen kotihoidossa (Lisätoimet 2025)</t>
  </si>
  <si>
    <t>Sairaaloiden ja päivystysten sekä erikoissairaanhoidon työnjako (HO 2023)</t>
  </si>
  <si>
    <t>Terapiatakuu (Lasten ja nuorten mielenterveyspalveluiden vahvistaminen) (HO 2023)</t>
  </si>
  <si>
    <t>Täydentävä ja ehkäisevä toimeentulotuki (kotoutumislain muutoksen v. 2025 vaikutus) (siirto momentille 32.50.30)</t>
  </si>
  <si>
    <t>Valtion vuoden 2026 talousarvioesityksen mukaiset sote-rahoituksen tehtävämuutokset</t>
  </si>
  <si>
    <t>Valtion vuoden 2026 talousarvioesityksen mukaiset pela-rahoituksen tehtävämuutokset</t>
  </si>
  <si>
    <t>Hyvinvointialueiden rahoituslaskelma vuodelle 2026</t>
  </si>
  <si>
    <t>Vähennys on nollattu, koska asian käsittely on eduskunnassa edelleen kesken.</t>
  </si>
  <si>
    <t>Vuoden 2026 rahoitus yhteensä, euroa (22.9.2025)</t>
  </si>
  <si>
    <t>Tammikuu</t>
  </si>
  <si>
    <t>Helmikuu</t>
  </si>
  <si>
    <t>Maaliskuu</t>
  </si>
  <si>
    <t>Huhtikuu</t>
  </si>
  <si>
    <t>Toukokuu</t>
  </si>
  <si>
    <t>Kesäkuu</t>
  </si>
  <si>
    <t>Heinäkuu</t>
  </si>
  <si>
    <t>Elokuu</t>
  </si>
  <si>
    <t>Syyskuu</t>
  </si>
  <si>
    <t>Lokakuu</t>
  </si>
  <si>
    <t>Marraskuu</t>
  </si>
  <si>
    <t>Joulukuu</t>
  </si>
  <si>
    <t>Vuoden 2026 valtion rahoituksen maksuerät, euroa</t>
  </si>
  <si>
    <t>Vuoden 2026 rahoitus, yhteensä</t>
  </si>
  <si>
    <r>
      <t xml:space="preserve">Tässä työkirjassa kuvataan </t>
    </r>
    <r>
      <rPr>
        <b/>
        <sz val="11"/>
        <rFont val="Arial"/>
        <family val="2"/>
        <scheme val="major"/>
      </rPr>
      <t>maksatuspäätöksen mukainen laskelma hyvinvointialueiden vuoden 2026 valtion rahoituksesta</t>
    </r>
    <r>
      <rPr>
        <sz val="11"/>
        <rFont val="Arial"/>
        <family val="2"/>
        <scheme val="major"/>
      </rPr>
      <t xml:space="preserve"> koko maan tasolla sekä aluekohtaisesti. </t>
    </r>
    <r>
      <rPr>
        <b/>
        <sz val="11"/>
        <rFont val="Arial"/>
        <family val="2"/>
        <scheme val="major"/>
      </rPr>
      <t xml:space="preserve">Aluekohtainen rahoitus on päivittynyt 22.9.2025 julkaistusta vuoden 2026 rahoituslaskelmasta. </t>
    </r>
  </si>
  <si>
    <t>VM/HVO 18.12.2025</t>
  </si>
  <si>
    <r>
      <rPr>
        <b/>
        <sz val="11"/>
        <rFont val="Arial"/>
        <family val="2"/>
        <scheme val="major"/>
      </rPr>
      <t>Tässä laskelmassa vuoden 2026 rahoituksen taso on kasvanut koko maan tasolla yhteensä 50,9 milj. verrattuna 22.9.2025 julkaistuun vuoden 2026 rahoituslaskelmaan</t>
    </r>
    <r>
      <rPr>
        <sz val="11"/>
        <rFont val="Arial"/>
        <family val="2"/>
        <scheme val="major"/>
      </rPr>
      <t xml:space="preserve">. Laskelmassa on huomioitu lisäyksenä 50,9 milj. euroa, sillä teknologian hyödyntämiseen iäkkäiden hoivassa ja kotihoidossa liittyvän asian käsittely on edelleen kesken. Tehtävämuutoksia vastaavat rahoituksen lisäykset ja vähennykset huomioidaan rahoituksessa koko maan tasolla. Vuoden 2026 laskennallisen sote-rahoituksen määräytymistekijöiden osuudet on päivitetty vastaamaan 24.6.2025 tarkentuneessa vuoden 2025 rahoituslaskelmassa käytettyjä osuuksia, huomioiden rahoituslakiin tehdyt muutokset. Muut vuoden 2026 rahoitukseen vaikuttavat tekijät eivät ole muuttuneet tässä laskelmassa. </t>
    </r>
  </si>
  <si>
    <t>Vuoden 2026 rahoitus on tarkistettu valtiovarainministeriön kansantalousosaston syksyn 2025 ennusteen mukaisella hyvinvointialueindeksillä ja THL:n laskemalla palvelutarpeen kasvuarviolla vuodelle 2026. Rahoituksessa on huomioitu vuoden 2026 valtion talousarvioesityksen mukaiset tehtävälainsäädännön muutokset vuodelle 2026. Lisäksi rahoituksessa on huomioitu jälkikäteistarkistus alueiden raportoimien vuoden 2024 tilinpäätöstietojen perusteella. Vuoden 2026 jälkikäteistarkistuksessa rahoituksen pohjaan vuonna 2025 lisättyä jälkikäteistarkistusta vähennetään noin 200 milj. euroa. Jälkikäteistarkistuksena tehtävä vähennys on 5 prosenttia pienempi, sillä siinä huomioidaan omavastuuosuus rahoituslain mukaan. Aluekohtaisessa rahoituksessa on otettu huomioon vuoden 2026 rahoituksessa huomioitava hyte-kerroin alueiden 31.8.2025 mennessä raportoimien tietojen perusteella. Lisäksi sisäministeriö on päivittänyt pelastustoimen riskiruudut syyskuussa.</t>
  </si>
  <si>
    <t>Vuoden 2026 rahoituksessa huomioitavat tarvekertoimet lasketaan vuoden 2022 tarvekertoimen ja vuoden 2023 tarvekertoimen keskiarvona. Vuoden 2023 tarvekerroin vastaa 26.6.2025 julkaistun vuoden 2026 rahoituslaskelman mukaista tarvekerrointa. Vuoden 2022 tarvekerroin vastaa vuoden 2025 rahoituksessa käytettyä vuoden 2022 tarvekerrointa.</t>
  </si>
  <si>
    <t>Ero 18.12.2025 julkaistun ja 22.9.2025 julkaistun vuoden 2026 rahoituksen välillä, euroa</t>
  </si>
  <si>
    <t>Vuoden 2025 rahoituksessa käytetty VH:n tarvekerroin 2022</t>
  </si>
  <si>
    <t>Vuoden 2025 rahoituksessa käytetty SH:n tarvekerroin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</si>
</sst>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_-* #,##0.00\ _€_-;\-* #,##0.00\ _€_-;_-* &quot;-&quot;??\ _€_-;_-@_-"/>
    <numFmt numFmtId="165" formatCode="#,##0_ ;[Red]\-#,##0\ "/>
    <numFmt numFmtId="166" formatCode="0.000"/>
    <numFmt numFmtId="167" formatCode="0.0"/>
    <numFmt numFmtId="168" formatCode="0.000\ %"/>
    <numFmt numFmtId="169" formatCode="0.0\ %"/>
    <numFmt numFmtId="170" formatCode="#,##0.000"/>
    <numFmt numFmtId="171" formatCode="#,##0.000000"/>
    <numFmt numFmtId="172" formatCode="_-* #,##0_-;\-* #,##0_-;_-* &quot;-&quot;??_-;_-@_-"/>
    <numFmt numFmtId="173" formatCode="0.00000"/>
    <numFmt numFmtId="174" formatCode="#,##0.00000000"/>
    <numFmt numFmtId="175" formatCode="0.0000\ %"/>
    <numFmt numFmtId="176" formatCode="#,##0.0"/>
    <numFmt numFmtId="177" formatCode="0.0000"/>
    <numFmt numFmtId="178" formatCode="0.000000000\ %"/>
    <numFmt numFmtId="179" formatCode="#,##0.000000000"/>
  </numFmts>
  <fonts count="7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b/>
      <sz val="11"/>
      <color theme="1"/>
      <name val="Arial"/>
      <family val="2"/>
      <scheme val="minor"/>
    </font>
    <font>
      <b/>
      <sz val="12"/>
      <color theme="1"/>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name val="Arial"/>
      <family val="2"/>
      <scheme val="maj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i/>
      <sz val="11"/>
      <name val="Arial"/>
      <family val="2"/>
      <scheme val="major"/>
    </font>
    <font>
      <i/>
      <sz val="11"/>
      <color theme="1"/>
      <name val="Arial"/>
      <family val="2"/>
      <scheme val="minor"/>
    </font>
    <font>
      <sz val="10"/>
      <color theme="1"/>
      <name val="Arial"/>
      <family val="2"/>
    </font>
    <font>
      <b/>
      <sz val="11"/>
      <color rgb="FFFF0000"/>
      <name val="Arial"/>
      <family val="2"/>
      <scheme val="minor"/>
    </font>
    <font>
      <strike/>
      <sz val="11"/>
      <color theme="1"/>
      <name val="Arial"/>
      <family val="2"/>
      <scheme val="major"/>
    </font>
    <font>
      <sz val="11"/>
      <color theme="1"/>
      <name val="Arial Narrow"/>
      <family val="2"/>
    </font>
    <font>
      <sz val="10"/>
      <color theme="1"/>
      <name val="Arial Narrow"/>
      <family val="2"/>
    </font>
    <font>
      <sz val="11"/>
      <name val="Arial"/>
      <family val="2"/>
      <scheme val="major"/>
    </font>
    <font>
      <sz val="11"/>
      <color theme="0"/>
      <name val="Arial"/>
      <family val="2"/>
      <scheme val="minor"/>
    </font>
    <font>
      <b/>
      <sz val="12"/>
      <color theme="0"/>
      <name val="Arial"/>
      <family val="2"/>
      <scheme val="minor"/>
    </font>
    <font>
      <sz val="8"/>
      <name val="Arial"/>
      <family val="2"/>
      <scheme val="minor"/>
    </font>
    <font>
      <sz val="8"/>
      <color rgb="FF252627"/>
      <name val="__Open_Sans_9c011f"/>
    </font>
    <font>
      <sz val="8"/>
      <color rgb="FF000000"/>
      <name val="__Open_Sans_9c011f"/>
    </font>
    <font>
      <sz val="8"/>
      <color rgb="FF252627"/>
      <name val="Unset"/>
    </font>
    <font>
      <b/>
      <sz val="13"/>
      <color theme="4"/>
      <name val="Arial"/>
      <family val="2"/>
      <scheme val="minor"/>
    </font>
    <font>
      <b/>
      <i/>
      <sz val="11"/>
      <color theme="1"/>
      <name val="Arial"/>
      <family val="2"/>
      <scheme val="minor"/>
    </font>
    <font>
      <sz val="8"/>
      <color rgb="FF0F0F0F"/>
      <name val="Arial"/>
      <family val="2"/>
      <scheme val="minor"/>
    </font>
    <font>
      <sz val="11"/>
      <color rgb="FFFF0000"/>
      <name val="Calibri"/>
      <family val="2"/>
    </font>
    <font>
      <b/>
      <sz val="11"/>
      <name val="Arial"/>
      <family val="2"/>
      <scheme val="minor"/>
    </font>
    <font>
      <i/>
      <sz val="8"/>
      <color rgb="FFFF0000"/>
      <name val="Arial"/>
      <family val="2"/>
      <scheme val="minor"/>
    </font>
    <font>
      <sz val="10"/>
      <color theme="1"/>
      <name val="Arial"/>
      <family val="2"/>
      <scheme val="major"/>
    </font>
    <font>
      <sz val="11"/>
      <color theme="1"/>
      <name val="Arial"/>
      <family val="2"/>
      <scheme val="major"/>
    </font>
    <font>
      <i/>
      <sz val="11"/>
      <color theme="1"/>
      <name val="Arial"/>
      <family val="2"/>
      <scheme val="major"/>
    </font>
    <font>
      <b/>
      <sz val="15"/>
      <color theme="3"/>
      <name val="Arial"/>
      <family val="2"/>
      <scheme val="minor"/>
    </font>
    <font>
      <b/>
      <i/>
      <sz val="15"/>
      <color theme="4"/>
      <name val="Arial"/>
      <family val="2"/>
      <scheme val="minor"/>
    </font>
    <font>
      <b/>
      <sz val="11"/>
      <color theme="1"/>
      <name val="Calibri"/>
      <family val="2"/>
    </font>
  </fonts>
  <fills count="17">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patternFill>
    </fill>
    <fill>
      <patternFill patternType="solid">
        <fgColor theme="8"/>
        <bgColor theme="4"/>
      </patternFill>
    </fill>
    <fill>
      <patternFill patternType="solid">
        <fgColor theme="9"/>
        <bgColor theme="4"/>
      </patternFill>
    </fill>
    <fill>
      <patternFill patternType="solid">
        <fgColor theme="0" tint="-4.9989318521683403E-2"/>
        <bgColor indexed="64"/>
      </patternFill>
    </fill>
    <fill>
      <patternFill patternType="solid">
        <fgColor theme="0"/>
        <bgColor indexed="64"/>
      </patternFill>
    </fill>
  </fills>
  <borders count="74">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medium">
        <color indexed="64"/>
      </left>
      <right/>
      <top style="medium">
        <color indexed="64"/>
      </top>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bottom style="thick">
        <color theme="4" tint="0.499984740745262"/>
      </bottom>
      <diagonal/>
    </border>
    <border>
      <left style="thin">
        <color indexed="64"/>
      </left>
      <right/>
      <top style="thin">
        <color theme="8"/>
      </top>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style="thin">
        <color theme="4"/>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9"/>
      </right>
      <top style="thin">
        <color theme="9"/>
      </top>
      <bottom style="thin">
        <color theme="9"/>
      </bottom>
      <diagonal/>
    </border>
    <border>
      <left style="thin">
        <color theme="4"/>
      </left>
      <right/>
      <top/>
      <bottom/>
      <diagonal/>
    </border>
    <border>
      <left/>
      <right style="thin">
        <color theme="4"/>
      </right>
      <top style="thin">
        <color auto="1"/>
      </top>
      <bottom/>
      <diagonal/>
    </border>
    <border>
      <left/>
      <right style="thin">
        <color theme="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style="thin">
        <color rgb="FF1B396D"/>
      </left>
      <right/>
      <top style="thin">
        <color theme="8"/>
      </top>
      <bottom style="thin">
        <color rgb="FF1B396D"/>
      </bottom>
      <diagonal/>
    </border>
    <border>
      <left/>
      <right/>
      <top style="thin">
        <color theme="8"/>
      </top>
      <bottom style="thin">
        <color indexed="64"/>
      </bottom>
      <diagonal/>
    </border>
    <border>
      <left/>
      <right style="thin">
        <color indexed="64"/>
      </right>
      <top style="thin">
        <color auto="1"/>
      </top>
      <bottom style="thin">
        <color theme="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bottom style="thin">
        <color indexed="64"/>
      </bottom>
      <diagonal/>
    </border>
    <border>
      <left/>
      <right style="thin">
        <color theme="9"/>
      </right>
      <top style="thin">
        <color theme="4"/>
      </top>
      <bottom/>
      <diagonal/>
    </border>
    <border>
      <left style="thin">
        <color theme="4"/>
      </left>
      <right/>
      <top style="thin">
        <color theme="4"/>
      </top>
      <bottom style="thin">
        <color theme="9"/>
      </bottom>
      <diagonal/>
    </border>
    <border>
      <left/>
      <right/>
      <top style="thin">
        <color theme="4"/>
      </top>
      <bottom style="thin">
        <color theme="9"/>
      </bottom>
      <diagonal/>
    </border>
    <border>
      <left/>
      <right style="thin">
        <color theme="9"/>
      </right>
      <top style="thin">
        <color theme="4"/>
      </top>
      <bottom style="thin">
        <color theme="9"/>
      </bottom>
      <diagonal/>
    </border>
    <border>
      <left style="thin">
        <color theme="9"/>
      </left>
      <right/>
      <top/>
      <bottom/>
      <diagonal/>
    </border>
    <border>
      <left/>
      <right style="thin">
        <color theme="9"/>
      </right>
      <top/>
      <bottom/>
      <diagonal/>
    </border>
    <border>
      <left/>
      <right/>
      <top/>
      <bottom style="thick">
        <color theme="4"/>
      </bottom>
      <diagonal/>
    </border>
    <border>
      <left/>
      <right/>
      <top style="thin">
        <color theme="9"/>
      </top>
      <bottom style="thin">
        <color theme="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0" fillId="0" borderId="29" applyNumberFormat="0" applyFill="0" applyAlignment="0" applyProtection="0"/>
    <xf numFmtId="0" fontId="1" fillId="0" borderId="0"/>
    <xf numFmtId="0" fontId="47" fillId="0" borderId="0"/>
    <xf numFmtId="0" fontId="53" fillId="12" borderId="0" applyNumberFormat="0" applyBorder="0" applyAlignment="0" applyProtection="0"/>
    <xf numFmtId="0" fontId="68" fillId="0" borderId="69" applyNumberFormat="0" applyFill="0" applyAlignment="0" applyProtection="0"/>
  </cellStyleXfs>
  <cellXfs count="572">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1" fillId="0" borderId="0" xfId="0" applyFont="1"/>
    <xf numFmtId="0" fontId="10" fillId="4" borderId="0" xfId="4" applyNumberFormat="1" applyFont="1" applyFill="1" applyBorder="1" applyAlignment="1">
      <alignment wrapText="1"/>
    </xf>
    <xf numFmtId="0" fontId="7" fillId="0" borderId="5" xfId="5" applyNumberFormat="1" applyFont="1" applyBorder="1" applyAlignment="1"/>
    <xf numFmtId="0" fontId="7" fillId="0" borderId="5" xfId="4" applyNumberFormat="1" applyFont="1" applyBorder="1" applyAlignment="1"/>
    <xf numFmtId="3" fontId="7" fillId="0" borderId="2" xfId="4" applyNumberFormat="1" applyFont="1" applyBorder="1" applyAlignment="1"/>
    <xf numFmtId="2" fontId="7" fillId="0" borderId="5"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0" fontId="6" fillId="0" borderId="0" xfId="0" applyFont="1" applyFill="1"/>
    <xf numFmtId="0" fontId="15" fillId="0" borderId="0" xfId="0" applyFont="1" applyFill="1"/>
    <xf numFmtId="0" fontId="16" fillId="0" borderId="0" xfId="3" applyFont="1" applyBorder="1"/>
    <xf numFmtId="0" fontId="6" fillId="0" borderId="0" xfId="0" applyFont="1" applyAlignment="1"/>
    <xf numFmtId="0" fontId="0" fillId="0" borderId="0" xfId="0" applyAlignment="1"/>
    <xf numFmtId="0" fontId="6" fillId="0" borderId="0" xfId="4" applyFont="1" applyFill="1"/>
    <xf numFmtId="0" fontId="17" fillId="0" borderId="0" xfId="4" applyFont="1"/>
    <xf numFmtId="0" fontId="17" fillId="0" borderId="0" xfId="4" applyFont="1" applyFill="1"/>
    <xf numFmtId="3" fontId="17" fillId="0" borderId="0" xfId="4" applyNumberFormat="1" applyFont="1"/>
    <xf numFmtId="1" fontId="17" fillId="0" borderId="0" xfId="4" applyNumberFormat="1" applyFont="1"/>
    <xf numFmtId="0" fontId="24" fillId="0" borderId="0" xfId="4" applyFont="1"/>
    <xf numFmtId="0" fontId="25" fillId="0" borderId="0" xfId="0" applyFont="1"/>
    <xf numFmtId="168" fontId="17" fillId="0" borderId="0" xfId="4" applyNumberFormat="1" applyFont="1"/>
    <xf numFmtId="0" fontId="17" fillId="0" borderId="0" xfId="0" applyFont="1" applyAlignment="1">
      <alignment horizontal="left"/>
    </xf>
    <xf numFmtId="0" fontId="17" fillId="0" borderId="0" xfId="4" applyFont="1" applyFill="1" applyBorder="1"/>
    <xf numFmtId="0" fontId="21" fillId="6" borderId="6" xfId="4" applyNumberFormat="1" applyFont="1" applyFill="1" applyBorder="1" applyAlignment="1"/>
    <xf numFmtId="0" fontId="21"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1" fillId="6" borderId="0" xfId="4" applyNumberFormat="1" applyFont="1" applyFill="1" applyBorder="1" applyAlignment="1"/>
    <xf numFmtId="0" fontId="21" fillId="6" borderId="0" xfId="4" applyNumberFormat="1" applyFont="1" applyFill="1" applyBorder="1" applyAlignment="1">
      <alignment wrapText="1"/>
    </xf>
    <xf numFmtId="3" fontId="21" fillId="6" borderId="0" xfId="4" applyNumberFormat="1" applyFont="1" applyFill="1" applyBorder="1" applyAlignment="1"/>
    <xf numFmtId="0" fontId="21" fillId="5" borderId="0" xfId="4" applyNumberFormat="1" applyFont="1" applyFill="1" applyBorder="1" applyAlignment="1"/>
    <xf numFmtId="0" fontId="17" fillId="0" borderId="7" xfId="4" applyNumberFormat="1" applyFont="1" applyBorder="1" applyAlignment="1"/>
    <xf numFmtId="3" fontId="17" fillId="0" borderId="7" xfId="4" applyNumberFormat="1" applyFont="1" applyBorder="1" applyAlignment="1"/>
    <xf numFmtId="0" fontId="18" fillId="0" borderId="5" xfId="4" applyNumberFormat="1" applyFont="1" applyBorder="1" applyAlignment="1"/>
    <xf numFmtId="0" fontId="17" fillId="0" borderId="5" xfId="4" applyNumberFormat="1" applyFont="1" applyBorder="1" applyAlignment="1"/>
    <xf numFmtId="3" fontId="18" fillId="0" borderId="5" xfId="4" applyNumberFormat="1" applyFont="1" applyBorder="1" applyAlignment="1"/>
    <xf numFmtId="0" fontId="18" fillId="0" borderId="0" xfId="4" applyFont="1"/>
    <xf numFmtId="0" fontId="27" fillId="0" borderId="0" xfId="4" applyFont="1" applyFill="1" applyBorder="1"/>
    <xf numFmtId="0" fontId="21" fillId="5" borderId="2" xfId="4" applyNumberFormat="1" applyFont="1" applyFill="1" applyBorder="1" applyAlignment="1"/>
    <xf numFmtId="0" fontId="21" fillId="6" borderId="7" xfId="4" applyNumberFormat="1" applyFont="1" applyFill="1" applyBorder="1" applyAlignment="1">
      <alignment horizontal="left"/>
    </xf>
    <xf numFmtId="0" fontId="21" fillId="6" borderId="7" xfId="4" applyNumberFormat="1" applyFont="1" applyFill="1" applyBorder="1" applyAlignment="1">
      <alignment wrapText="1"/>
    </xf>
    <xf numFmtId="0" fontId="21" fillId="5" borderId="7" xfId="4" applyNumberFormat="1" applyFont="1" applyFill="1" applyBorder="1" applyAlignment="1">
      <alignment horizontal="left" wrapText="1"/>
    </xf>
    <xf numFmtId="0" fontId="21" fillId="6" borderId="7" xfId="4" applyNumberFormat="1" applyFont="1" applyFill="1" applyBorder="1" applyAlignment="1">
      <alignment horizontal="left" wrapText="1"/>
    </xf>
    <xf numFmtId="0" fontId="28" fillId="0" borderId="0" xfId="4" applyFont="1" applyFill="1" applyBorder="1"/>
    <xf numFmtId="0" fontId="24" fillId="0" borderId="5" xfId="5" applyNumberFormat="1" applyFont="1" applyBorder="1" applyAlignment="1"/>
    <xf numFmtId="3" fontId="17" fillId="0" borderId="5" xfId="4" applyNumberFormat="1" applyFont="1" applyBorder="1" applyAlignment="1"/>
    <xf numFmtId="166" fontId="17" fillId="0" borderId="5" xfId="4" applyNumberFormat="1" applyFont="1" applyBorder="1" applyAlignment="1"/>
    <xf numFmtId="3" fontId="27" fillId="0" borderId="0" xfId="4" applyNumberFormat="1" applyFont="1" applyFill="1" applyBorder="1"/>
    <xf numFmtId="0" fontId="24" fillId="0" borderId="2" xfId="5" applyNumberFormat="1" applyFont="1" applyBorder="1" applyAlignment="1"/>
    <xf numFmtId="0" fontId="17" fillId="0" borderId="2" xfId="4" applyNumberFormat="1" applyFont="1" applyBorder="1" applyAlignment="1"/>
    <xf numFmtId="0" fontId="17" fillId="0" borderId="9" xfId="4" applyNumberFormat="1" applyFont="1" applyBorder="1" applyAlignment="1"/>
    <xf numFmtId="166" fontId="18" fillId="0" borderId="5" xfId="4" applyNumberFormat="1" applyFont="1" applyBorder="1" applyAlignment="1"/>
    <xf numFmtId="166" fontId="18" fillId="0" borderId="11"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1" fillId="6" borderId="0" xfId="4" applyNumberFormat="1" applyFont="1" applyFill="1" applyBorder="1" applyAlignment="1">
      <alignment horizontal="center"/>
    </xf>
    <xf numFmtId="0" fontId="21" fillId="6" borderId="12" xfId="4" applyNumberFormat="1" applyFont="1" applyFill="1" applyBorder="1" applyAlignment="1"/>
    <xf numFmtId="3" fontId="18" fillId="0" borderId="13" xfId="4" applyNumberFormat="1" applyFont="1" applyBorder="1" applyAlignment="1"/>
    <xf numFmtId="0" fontId="24" fillId="0" borderId="7" xfId="5" applyNumberFormat="1" applyFont="1" applyBorder="1" applyAlignment="1"/>
    <xf numFmtId="168" fontId="18" fillId="0" borderId="7" xfId="9" applyNumberFormat="1" applyFont="1" applyBorder="1" applyAlignment="1"/>
    <xf numFmtId="0" fontId="24" fillId="0" borderId="0" xfId="4" applyFont="1" applyFill="1" applyBorder="1"/>
    <xf numFmtId="3" fontId="17" fillId="0" borderId="0" xfId="4" applyNumberFormat="1" applyFont="1" applyFill="1" applyBorder="1"/>
    <xf numFmtId="3" fontId="24" fillId="0" borderId="0" xfId="4" applyNumberFormat="1" applyFont="1" applyFill="1" applyBorder="1"/>
    <xf numFmtId="0" fontId="18" fillId="0" borderId="0" xfId="4" applyFont="1" applyFill="1" applyBorder="1"/>
    <xf numFmtId="0" fontId="21" fillId="0" borderId="4" xfId="4" applyFont="1" applyFill="1" applyBorder="1" applyAlignment="1">
      <alignment wrapText="1"/>
    </xf>
    <xf numFmtId="0" fontId="20" fillId="0" borderId="0" xfId="4" applyFont="1" applyFill="1" applyBorder="1"/>
    <xf numFmtId="166" fontId="24" fillId="0" borderId="0" xfId="4" applyNumberFormat="1" applyFont="1" applyFill="1" applyBorder="1"/>
    <xf numFmtId="2" fontId="24" fillId="0" borderId="0" xfId="4" applyNumberFormat="1" applyFont="1" applyFill="1" applyBorder="1"/>
    <xf numFmtId="3" fontId="20" fillId="0" borderId="0" xfId="4" applyNumberFormat="1" applyFont="1" applyFill="1" applyBorder="1"/>
    <xf numFmtId="166" fontId="20" fillId="0" borderId="0" xfId="4" applyNumberFormat="1" applyFont="1" applyFill="1" applyBorder="1"/>
    <xf numFmtId="2" fontId="20" fillId="0" borderId="0" xfId="4" applyNumberFormat="1" applyFont="1" applyFill="1" applyBorder="1"/>
    <xf numFmtId="0" fontId="20" fillId="0" borderId="0" xfId="4" applyFont="1"/>
    <xf numFmtId="9" fontId="24" fillId="0" borderId="0" xfId="4" applyNumberFormat="1" applyFont="1"/>
    <xf numFmtId="3" fontId="24" fillId="0" borderId="0" xfId="4" applyNumberFormat="1" applyFont="1"/>
    <xf numFmtId="1" fontId="24" fillId="0" borderId="0" xfId="4" applyNumberFormat="1" applyFont="1"/>
    <xf numFmtId="0" fontId="24" fillId="0" borderId="0" xfId="4" applyFont="1" applyAlignment="1">
      <alignment horizontal="right"/>
    </xf>
    <xf numFmtId="0" fontId="24" fillId="0" borderId="0" xfId="4" applyFont="1" applyFill="1"/>
    <xf numFmtId="1" fontId="24" fillId="0" borderId="0" xfId="4" applyNumberFormat="1" applyFont="1" applyFill="1"/>
    <xf numFmtId="3" fontId="6" fillId="0" borderId="0" xfId="0" applyNumberFormat="1" applyFont="1" applyAlignment="1">
      <alignment horizontal="right"/>
    </xf>
    <xf numFmtId="0" fontId="21" fillId="0" borderId="0" xfId="4" applyNumberFormat="1" applyFont="1" applyFill="1" applyBorder="1" applyAlignment="1">
      <alignment wrapText="1"/>
    </xf>
    <xf numFmtId="3" fontId="18" fillId="0" borderId="14" xfId="4" applyNumberFormat="1" applyFont="1" applyBorder="1" applyAlignment="1"/>
    <xf numFmtId="0" fontId="18" fillId="0" borderId="0" xfId="0" applyNumberFormat="1" applyFont="1" applyFill="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9" fillId="3" borderId="0" xfId="4" applyFont="1" applyFill="1" applyAlignment="1">
      <alignment horizontal="right"/>
    </xf>
    <xf numFmtId="0" fontId="23" fillId="0" borderId="0" xfId="4" applyFont="1" applyFill="1" applyBorder="1"/>
    <xf numFmtId="0" fontId="4" fillId="2" borderId="0" xfId="0" applyFont="1" applyFill="1" applyAlignment="1">
      <alignment horizontal="right"/>
    </xf>
    <xf numFmtId="3" fontId="6" fillId="0" borderId="0" xfId="0" applyNumberFormat="1" applyFont="1" applyFill="1" applyBorder="1" applyAlignment="1"/>
    <xf numFmtId="0" fontId="7" fillId="0" borderId="3" xfId="5" applyNumberFormat="1" applyFont="1" applyBorder="1" applyAlignment="1"/>
    <xf numFmtId="0" fontId="7" fillId="0" borderId="3" xfId="4" applyNumberFormat="1" applyFont="1" applyBorder="1" applyAlignment="1"/>
    <xf numFmtId="3" fontId="9" fillId="0" borderId="0" xfId="0" applyNumberFormat="1" applyFont="1"/>
    <xf numFmtId="0" fontId="31" fillId="0" borderId="0" xfId="0" applyFont="1"/>
    <xf numFmtId="3" fontId="7" fillId="0" borderId="5"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7" fillId="0" borderId="0" xfId="0" applyFont="1"/>
    <xf numFmtId="0" fontId="14" fillId="0" borderId="0" xfId="0" applyFont="1"/>
    <xf numFmtId="0" fontId="33" fillId="5" borderId="0" xfId="4" applyNumberFormat="1" applyFont="1" applyFill="1" applyAlignment="1">
      <alignment horizontal="left" wrapText="1"/>
    </xf>
    <xf numFmtId="3" fontId="32" fillId="0" borderId="0" xfId="4" applyNumberFormat="1" applyFont="1" applyFill="1" applyBorder="1" applyAlignment="1"/>
    <xf numFmtId="3" fontId="18" fillId="0" borderId="0" xfId="4" applyNumberFormat="1" applyFont="1" applyFill="1" applyBorder="1" applyAlignment="1"/>
    <xf numFmtId="0" fontId="35"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172" fontId="6" fillId="0" borderId="0" xfId="10" applyNumberFormat="1" applyFont="1" applyFill="1"/>
    <xf numFmtId="3" fontId="0" fillId="0" borderId="0" xfId="0" applyNumberFormat="1" applyAlignment="1"/>
    <xf numFmtId="1" fontId="23" fillId="0" borderId="0" xfId="4" applyNumberFormat="1" applyFont="1"/>
    <xf numFmtId="0" fontId="15" fillId="0" borderId="0" xfId="0" applyFont="1"/>
    <xf numFmtId="0" fontId="37" fillId="0" borderId="0" xfId="0" applyFont="1"/>
    <xf numFmtId="0" fontId="26" fillId="0" borderId="18" xfId="4" applyNumberFormat="1" applyFont="1" applyFill="1" applyBorder="1" applyAlignment="1">
      <alignment wrapText="1"/>
    </xf>
    <xf numFmtId="168" fontId="26" fillId="0" borderId="17" xfId="8" applyNumberFormat="1" applyFont="1" applyFill="1" applyBorder="1"/>
    <xf numFmtId="0" fontId="39" fillId="0" borderId="0" xfId="0" applyFont="1" applyAlignment="1"/>
    <xf numFmtId="0" fontId="38" fillId="0" borderId="0" xfId="0" applyFont="1"/>
    <xf numFmtId="3" fontId="25" fillId="0" borderId="0" xfId="0" applyNumberFormat="1" applyFont="1"/>
    <xf numFmtId="0" fontId="9" fillId="0" borderId="0" xfId="4" applyFont="1" applyFill="1"/>
    <xf numFmtId="0" fontId="14" fillId="0" borderId="0" xfId="4" applyFont="1" applyBorder="1"/>
    <xf numFmtId="3" fontId="18" fillId="0" borderId="28" xfId="4" applyNumberFormat="1" applyFont="1" applyBorder="1" applyAlignment="1"/>
    <xf numFmtId="3" fontId="18" fillId="0" borderId="3" xfId="4" applyNumberFormat="1" applyFont="1" applyBorder="1" applyAlignment="1"/>
    <xf numFmtId="3" fontId="21" fillId="9" borderId="23" xfId="4" applyNumberFormat="1" applyFont="1" applyFill="1" applyBorder="1" applyAlignment="1"/>
    <xf numFmtId="3" fontId="21" fillId="9" borderId="24" xfId="4" applyNumberFormat="1" applyFont="1" applyFill="1" applyBorder="1" applyAlignment="1"/>
    <xf numFmtId="3" fontId="21" fillId="5" borderId="23" xfId="4" applyNumberFormat="1" applyFont="1" applyFill="1" applyBorder="1" applyAlignment="1"/>
    <xf numFmtId="0" fontId="0" fillId="0" borderId="0" xfId="0" applyFill="1"/>
    <xf numFmtId="167" fontId="7" fillId="0" borderId="5" xfId="4" applyNumberFormat="1" applyFont="1" applyBorder="1" applyAlignment="1"/>
    <xf numFmtId="166" fontId="7" fillId="0" borderId="5"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5"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6" fillId="0" borderId="5"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24" fillId="0" borderId="2" xfId="4" applyNumberFormat="1" applyFont="1" applyBorder="1" applyAlignment="1"/>
    <xf numFmtId="3" fontId="20" fillId="0" borderId="2" xfId="4" applyNumberFormat="1" applyFont="1" applyBorder="1" applyAlignment="1"/>
    <xf numFmtId="0" fontId="24" fillId="0" borderId="0" xfId="4" applyNumberFormat="1" applyFont="1" applyBorder="1" applyAlignment="1"/>
    <xf numFmtId="0" fontId="20" fillId="0" borderId="0" xfId="4" applyNumberFormat="1" applyFont="1" applyBorder="1" applyAlignment="1"/>
    <xf numFmtId="171" fontId="24" fillId="0" borderId="0" xfId="4" applyNumberFormat="1" applyFont="1" applyBorder="1" applyAlignment="1"/>
    <xf numFmtId="0" fontId="24" fillId="0" borderId="0" xfId="4" applyFont="1" applyBorder="1" applyAlignment="1">
      <alignment horizontal="right"/>
    </xf>
    <xf numFmtId="0" fontId="24" fillId="0" borderId="2" xfId="4" applyNumberFormat="1" applyFont="1" applyBorder="1" applyAlignment="1"/>
    <xf numFmtId="0" fontId="21" fillId="4" borderId="0" xfId="4" applyNumberFormat="1" applyFont="1" applyFill="1" applyBorder="1" applyAlignment="1"/>
    <xf numFmtId="0" fontId="21" fillId="6" borderId="26" xfId="0" applyNumberFormat="1" applyFont="1" applyFill="1" applyBorder="1" applyAlignment="1" applyProtection="1">
      <alignment horizontal="left" wrapText="1"/>
    </xf>
    <xf numFmtId="0" fontId="21" fillId="6" borderId="0" xfId="0" applyNumberFormat="1" applyFont="1" applyFill="1" applyBorder="1" applyAlignment="1" applyProtection="1">
      <alignment horizontal="right"/>
    </xf>
    <xf numFmtId="3" fontId="7" fillId="0" borderId="5"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0" fillId="3" borderId="29" xfId="12" applyFill="1"/>
    <xf numFmtId="0" fontId="40" fillId="3" borderId="29" xfId="12" applyFill="1" applyAlignment="1">
      <alignment horizontal="left"/>
    </xf>
    <xf numFmtId="0" fontId="17" fillId="0" borderId="8" xfId="4" applyNumberFormat="1" applyFont="1" applyBorder="1" applyAlignment="1"/>
    <xf numFmtId="0" fontId="17" fillId="0" borderId="6" xfId="4" applyNumberFormat="1" applyFont="1" applyBorder="1" applyAlignment="1"/>
    <xf numFmtId="0" fontId="17" fillId="0" borderId="10" xfId="4" applyNumberFormat="1" applyFont="1" applyBorder="1" applyAlignment="1"/>
    <xf numFmtId="0" fontId="17" fillId="0" borderId="11" xfId="4" applyNumberFormat="1" applyFont="1" applyBorder="1" applyAlignment="1"/>
    <xf numFmtId="0" fontId="6" fillId="0" borderId="0" xfId="0" applyFont="1" applyFill="1" applyBorder="1" applyAlignment="1"/>
    <xf numFmtId="0" fontId="21" fillId="0" borderId="0" xfId="4" applyFont="1" applyFill="1" applyBorder="1" applyAlignment="1">
      <alignment wrapText="1"/>
    </xf>
    <xf numFmtId="0" fontId="24" fillId="0" borderId="0" xfId="4" applyFont="1" applyAlignment="1">
      <alignment horizontal="right" wrapText="1"/>
    </xf>
    <xf numFmtId="0" fontId="0" fillId="0" borderId="0" xfId="0" applyAlignment="1">
      <alignment wrapText="1"/>
    </xf>
    <xf numFmtId="0" fontId="41" fillId="0" borderId="0" xfId="2" applyFont="1"/>
    <xf numFmtId="0" fontId="42" fillId="0" borderId="0" xfId="2" applyFont="1"/>
    <xf numFmtId="0" fontId="30" fillId="3" borderId="0" xfId="0" applyFont="1" applyFill="1" applyAlignment="1"/>
    <xf numFmtId="0" fontId="30" fillId="0" borderId="0" xfId="0" applyFont="1" applyAlignment="1"/>
    <xf numFmtId="4" fontId="18" fillId="0" borderId="5" xfId="4" applyNumberFormat="1" applyFont="1" applyBorder="1" applyAlignment="1"/>
    <xf numFmtId="4" fontId="17" fillId="0" borderId="5" xfId="4" applyNumberFormat="1" applyFont="1" applyBorder="1" applyAlignment="1"/>
    <xf numFmtId="4" fontId="18" fillId="0" borderId="0" xfId="4" applyNumberFormat="1" applyFont="1" applyBorder="1" applyAlignment="1"/>
    <xf numFmtId="0" fontId="10" fillId="7" borderId="24" xfId="0" applyFont="1" applyFill="1" applyBorder="1" applyAlignment="1">
      <alignment horizontal="left" wrapText="1"/>
    </xf>
    <xf numFmtId="0" fontId="26" fillId="0" borderId="0" xfId="4" applyNumberFormat="1" applyFont="1" applyFill="1" applyBorder="1" applyAlignment="1">
      <alignment wrapText="1"/>
    </xf>
    <xf numFmtId="168" fontId="26" fillId="0" borderId="0" xfId="8" applyNumberFormat="1" applyFont="1" applyFill="1" applyBorder="1"/>
    <xf numFmtId="169" fontId="34" fillId="0" borderId="0" xfId="4" applyNumberFormat="1" applyFont="1" applyFill="1" applyBorder="1" applyAlignment="1"/>
    <xf numFmtId="0" fontId="10" fillId="7" borderId="25" xfId="0" applyFont="1" applyFill="1" applyBorder="1" applyAlignment="1">
      <alignment horizontal="left" wrapText="1"/>
    </xf>
    <xf numFmtId="169" fontId="21" fillId="0" borderId="0" xfId="4" applyNumberFormat="1" applyFont="1" applyFill="1" applyBorder="1" applyAlignment="1"/>
    <xf numFmtId="169" fontId="22" fillId="0" borderId="0" xfId="4" applyNumberFormat="1" applyFont="1" applyFill="1" applyBorder="1"/>
    <xf numFmtId="0" fontId="18" fillId="0" borderId="13" xfId="4" applyNumberFormat="1" applyFont="1" applyBorder="1" applyAlignment="1"/>
    <xf numFmtId="3" fontId="17" fillId="0" borderId="14" xfId="4" applyNumberFormat="1" applyFont="1" applyBorder="1" applyAlignment="1"/>
    <xf numFmtId="0" fontId="17" fillId="0" borderId="30" xfId="4" applyNumberFormat="1" applyFont="1" applyBorder="1" applyAlignment="1">
      <alignment horizontal="left" wrapText="1"/>
    </xf>
    <xf numFmtId="0" fontId="43" fillId="0" borderId="0" xfId="0" applyFont="1" applyFill="1"/>
    <xf numFmtId="4" fontId="18" fillId="0" borderId="0" xfId="4" applyNumberFormat="1" applyFont="1" applyFill="1" applyBorder="1"/>
    <xf numFmtId="4" fontId="24" fillId="0" borderId="0" xfId="4" applyNumberFormat="1" applyFont="1" applyFill="1" applyBorder="1"/>
    <xf numFmtId="165" fontId="6" fillId="0" borderId="0" xfId="0" applyNumberFormat="1" applyFont="1" applyFill="1" applyBorder="1" applyAlignment="1"/>
    <xf numFmtId="0" fontId="44" fillId="0" borderId="0" xfId="0" applyFont="1" applyAlignment="1"/>
    <xf numFmtId="0" fontId="10" fillId="4" borderId="2" xfId="0" applyFont="1" applyFill="1" applyBorder="1" applyAlignment="1">
      <alignment horizontal="left" wrapText="1"/>
    </xf>
    <xf numFmtId="172" fontId="0" fillId="0" borderId="0" xfId="0" applyNumberFormat="1"/>
    <xf numFmtId="165" fontId="0" fillId="0" borderId="0" xfId="0" applyNumberFormat="1"/>
    <xf numFmtId="0" fontId="3" fillId="10" borderId="1" xfId="3" applyFill="1" applyAlignment="1"/>
    <xf numFmtId="165" fontId="6" fillId="0" borderId="0" xfId="0" applyNumberFormat="1" applyFont="1" applyFill="1" applyAlignment="1"/>
    <xf numFmtId="169" fontId="20" fillId="0" borderId="2" xfId="9" applyNumberFormat="1" applyFont="1" applyBorder="1"/>
    <xf numFmtId="169" fontId="20" fillId="0" borderId="0" xfId="9" applyNumberFormat="1" applyFont="1" applyFill="1" applyBorder="1"/>
    <xf numFmtId="166" fontId="8" fillId="0" borderId="5" xfId="7" applyNumberFormat="1" applyFont="1" applyBorder="1" applyAlignment="1"/>
    <xf numFmtId="166" fontId="8" fillId="0" borderId="2" xfId="7" applyNumberFormat="1" applyFont="1" applyBorder="1" applyAlignment="1"/>
    <xf numFmtId="0" fontId="10" fillId="4" borderId="21" xfId="0" applyFont="1" applyFill="1" applyBorder="1" applyAlignment="1">
      <alignment horizontal="left" wrapText="1"/>
    </xf>
    <xf numFmtId="0" fontId="10" fillId="4" borderId="32" xfId="0" applyFont="1" applyFill="1" applyBorder="1" applyAlignment="1">
      <alignment horizontal="left" wrapText="1"/>
    </xf>
    <xf numFmtId="0" fontId="10" fillId="4" borderId="22" xfId="0" applyFont="1" applyFill="1" applyBorder="1" applyAlignment="1">
      <alignment horizontal="left" wrapText="1"/>
    </xf>
    <xf numFmtId="166" fontId="8" fillId="0" borderId="34" xfId="7" applyNumberFormat="1" applyFont="1" applyBorder="1" applyAlignment="1"/>
    <xf numFmtId="166" fontId="8" fillId="0" borderId="36" xfId="7" applyNumberFormat="1" applyFont="1" applyBorder="1" applyAlignment="1"/>
    <xf numFmtId="166" fontId="7" fillId="0" borderId="0" xfId="7" applyNumberFormat="1" applyFont="1" applyBorder="1" applyAlignment="1"/>
    <xf numFmtId="166" fontId="8" fillId="0" borderId="38" xfId="7" applyNumberFormat="1" applyFont="1" applyBorder="1" applyAlignment="1"/>
    <xf numFmtId="166" fontId="8" fillId="0" borderId="39" xfId="7" applyNumberFormat="1" applyFont="1" applyBorder="1" applyAlignment="1"/>
    <xf numFmtId="0" fontId="8" fillId="0" borderId="0" xfId="4" applyNumberFormat="1" applyFont="1" applyBorder="1" applyAlignment="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7" fillId="0" borderId="31" xfId="5" applyNumberFormat="1" applyFont="1" applyBorder="1" applyAlignment="1"/>
    <xf numFmtId="0" fontId="7" fillId="0" borderId="15" xfId="4" applyNumberFormat="1" applyFont="1" applyBorder="1" applyAlignment="1"/>
    <xf numFmtId="0" fontId="7" fillId="0" borderId="16" xfId="4" applyNumberFormat="1" applyFont="1" applyBorder="1" applyAlignment="1"/>
    <xf numFmtId="3" fontId="7" fillId="0" borderId="16" xfId="4" applyNumberFormat="1" applyFont="1" applyBorder="1" applyAlignment="1"/>
    <xf numFmtId="2" fontId="7" fillId="0" borderId="16" xfId="7" applyNumberFormat="1" applyFont="1" applyBorder="1" applyAlignment="1"/>
    <xf numFmtId="0" fontId="0" fillId="0" borderId="0" xfId="0" applyFont="1" applyFill="1"/>
    <xf numFmtId="0" fontId="7" fillId="3" borderId="0" xfId="4" applyFont="1" applyFill="1"/>
    <xf numFmtId="0" fontId="7" fillId="0" borderId="5" xfId="4" applyNumberFormat="1" applyFont="1" applyFill="1" applyBorder="1" applyAlignment="1"/>
    <xf numFmtId="170" fontId="7" fillId="0" borderId="5" xfId="4" applyNumberFormat="1" applyFont="1" applyFill="1" applyBorder="1" applyAlignment="1"/>
    <xf numFmtId="0" fontId="7" fillId="0" borderId="2" xfId="4" applyNumberFormat="1" applyFont="1" applyFill="1" applyBorder="1" applyAlignment="1"/>
    <xf numFmtId="170" fontId="7" fillId="0" borderId="2" xfId="4" applyNumberFormat="1" applyFont="1" applyFill="1" applyBorder="1" applyAlignment="1"/>
    <xf numFmtId="170" fontId="8" fillId="0" borderId="2" xfId="4" applyNumberFormat="1" applyFont="1" applyFill="1" applyBorder="1" applyAlignment="1"/>
    <xf numFmtId="3" fontId="18" fillId="0" borderId="3" xfId="4" applyNumberFormat="1" applyFont="1" applyFill="1" applyBorder="1" applyAlignment="1"/>
    <xf numFmtId="3" fontId="15" fillId="0" borderId="0" xfId="4" applyNumberFormat="1" applyFont="1" applyFill="1"/>
    <xf numFmtId="10" fontId="0" fillId="0" borderId="0" xfId="9" applyNumberFormat="1" applyFont="1" applyAlignment="1"/>
    <xf numFmtId="165" fontId="30" fillId="0" borderId="0" xfId="10" applyNumberFormat="1" applyFont="1" applyFill="1" applyBorder="1"/>
    <xf numFmtId="10" fontId="0" fillId="0" borderId="0" xfId="9" applyNumberFormat="1" applyFont="1" applyFill="1" applyBorder="1"/>
    <xf numFmtId="0" fontId="38" fillId="0" borderId="0" xfId="0" applyFont="1" applyAlignment="1"/>
    <xf numFmtId="0" fontId="10" fillId="2" borderId="0" xfId="0" applyFont="1" applyFill="1" applyAlignment="1"/>
    <xf numFmtId="3" fontId="7" fillId="0" borderId="0" xfId="0" applyNumberFormat="1" applyFont="1" applyFill="1" applyBorder="1" applyAlignment="1"/>
    <xf numFmtId="165" fontId="11" fillId="0" borderId="0" xfId="0" applyNumberFormat="1" applyFont="1" applyFill="1" applyAlignment="1"/>
    <xf numFmtId="165" fontId="7" fillId="0" borderId="0" xfId="0" applyNumberFormat="1" applyFont="1" applyFill="1" applyBorder="1" applyAlignment="1"/>
    <xf numFmtId="0" fontId="7" fillId="0" borderId="0" xfId="0" applyFont="1" applyFill="1" applyAlignment="1"/>
    <xf numFmtId="3" fontId="37" fillId="0" borderId="0" xfId="10" applyNumberFormat="1" applyFont="1" applyFill="1" applyAlignment="1"/>
    <xf numFmtId="0" fontId="6" fillId="3" borderId="0" xfId="4" applyNumberFormat="1" applyFont="1" applyFill="1" applyBorder="1" applyAlignment="1"/>
    <xf numFmtId="0" fontId="8" fillId="0" borderId="2" xfId="4" applyNumberFormat="1" applyFont="1" applyFill="1" applyBorder="1" applyAlignment="1"/>
    <xf numFmtId="3" fontId="17" fillId="0" borderId="0" xfId="4" applyNumberFormat="1" applyFont="1" applyAlignment="1">
      <alignment wrapText="1"/>
    </xf>
    <xf numFmtId="166" fontId="15" fillId="0" borderId="0" xfId="0" applyNumberFormat="1" applyFont="1" applyBorder="1"/>
    <xf numFmtId="0" fontId="10" fillId="0" borderId="0" xfId="0" applyFont="1" applyFill="1" applyBorder="1" applyAlignment="1">
      <alignment horizontal="left" wrapText="1"/>
    </xf>
    <xf numFmtId="165" fontId="17" fillId="0" borderId="0" xfId="4" applyNumberFormat="1" applyFont="1"/>
    <xf numFmtId="3" fontId="17" fillId="0" borderId="5" xfId="4" applyNumberFormat="1" applyFont="1" applyFill="1" applyBorder="1" applyAlignment="1"/>
    <xf numFmtId="169" fontId="26" fillId="0" borderId="0" xfId="4" applyNumberFormat="1" applyFont="1" applyFill="1" applyBorder="1" applyAlignment="1"/>
    <xf numFmtId="166" fontId="25" fillId="0" borderId="0" xfId="0" applyNumberFormat="1" applyFont="1"/>
    <xf numFmtId="3" fontId="0" fillId="0" borderId="0" xfId="0" applyNumberFormat="1"/>
    <xf numFmtId="0" fontId="17" fillId="0" borderId="0" xfId="4" applyFont="1" applyBorder="1"/>
    <xf numFmtId="0" fontId="0" fillId="0" borderId="0" xfId="0" applyFill="1" applyBorder="1"/>
    <xf numFmtId="0" fontId="24" fillId="0" borderId="0" xfId="0" applyFont="1"/>
    <xf numFmtId="0" fontId="24" fillId="0" borderId="2" xfId="13" applyFont="1" applyBorder="1"/>
    <xf numFmtId="3" fontId="17" fillId="0" borderId="2" xfId="4" applyNumberFormat="1" applyFont="1" applyBorder="1"/>
    <xf numFmtId="4" fontId="17" fillId="0" borderId="2" xfId="4" applyNumberFormat="1" applyFont="1" applyBorder="1"/>
    <xf numFmtId="0" fontId="17" fillId="0" borderId="2" xfId="4" applyFont="1" applyBorder="1"/>
    <xf numFmtId="0" fontId="18" fillId="0" borderId="2" xfId="4" applyFont="1" applyBorder="1"/>
    <xf numFmtId="3" fontId="18" fillId="0" borderId="2" xfId="4" applyNumberFormat="1" applyFont="1" applyBorder="1"/>
    <xf numFmtId="0" fontId="21" fillId="4" borderId="16" xfId="13" applyFont="1" applyFill="1" applyBorder="1" applyAlignment="1">
      <alignment horizontal="left" wrapText="1"/>
    </xf>
    <xf numFmtId="165" fontId="24" fillId="0" borderId="2" xfId="13" applyNumberFormat="1" applyFont="1" applyBorder="1"/>
    <xf numFmtId="0" fontId="24" fillId="0" borderId="9" xfId="13" applyFont="1" applyBorder="1"/>
    <xf numFmtId="2" fontId="17" fillId="0" borderId="5" xfId="4" applyNumberFormat="1" applyFont="1" applyFill="1" applyBorder="1" applyAlignment="1"/>
    <xf numFmtId="2" fontId="18" fillId="0" borderId="5" xfId="4" applyNumberFormat="1" applyFont="1" applyFill="1" applyBorder="1" applyAlignment="1"/>
    <xf numFmtId="3" fontId="15" fillId="0" borderId="0" xfId="0" applyNumberFormat="1" applyFont="1" applyFill="1" applyBorder="1" applyAlignment="1"/>
    <xf numFmtId="0" fontId="4" fillId="0" borderId="0" xfId="0" applyFont="1" applyFill="1" applyBorder="1" applyAlignment="1">
      <alignment horizontal="right"/>
    </xf>
    <xf numFmtId="165" fontId="30" fillId="0" borderId="0" xfId="10" applyNumberFormat="1" applyFont="1" applyBorder="1" applyAlignment="1"/>
    <xf numFmtId="165" fontId="30" fillId="0" borderId="0" xfId="10" applyNumberFormat="1" applyFont="1" applyBorder="1"/>
    <xf numFmtId="3" fontId="17" fillId="0" borderId="0" xfId="4" applyNumberFormat="1" applyFont="1" applyFill="1"/>
    <xf numFmtId="0" fontId="14" fillId="0" borderId="0" xfId="4" applyFont="1"/>
    <xf numFmtId="0" fontId="30" fillId="8" borderId="0" xfId="0" applyFont="1" applyFill="1"/>
    <xf numFmtId="0" fontId="50" fillId="8" borderId="0" xfId="0" applyFont="1" applyFill="1"/>
    <xf numFmtId="0" fontId="48" fillId="8" borderId="0" xfId="0" applyFont="1" applyFill="1"/>
    <xf numFmtId="0" fontId="51" fillId="0" borderId="0" xfId="0" applyFont="1"/>
    <xf numFmtId="0" fontId="10" fillId="4" borderId="16" xfId="4" applyFont="1" applyFill="1" applyBorder="1" applyAlignment="1">
      <alignment horizontal="left"/>
    </xf>
    <xf numFmtId="0" fontId="10" fillId="7" borderId="0" xfId="0" applyFont="1" applyFill="1" applyAlignment="1">
      <alignment horizontal="left" wrapText="1"/>
    </xf>
    <xf numFmtId="0" fontId="10" fillId="4" borderId="16" xfId="4" applyFont="1" applyFill="1" applyBorder="1" applyAlignment="1">
      <alignment horizontal="left" wrapText="1"/>
    </xf>
    <xf numFmtId="0" fontId="51" fillId="0" borderId="0" xfId="0" applyFont="1" applyAlignment="1">
      <alignment horizontal="left"/>
    </xf>
    <xf numFmtId="0" fontId="7" fillId="0" borderId="3" xfId="5" applyFont="1" applyBorder="1"/>
    <xf numFmtId="172" fontId="6" fillId="0" borderId="0" xfId="10" applyNumberFormat="1" applyFont="1"/>
    <xf numFmtId="3" fontId="6" fillId="0" borderId="0" xfId="0" applyNumberFormat="1" applyFont="1"/>
    <xf numFmtId="165" fontId="6" fillId="0" borderId="0" xfId="0" applyNumberFormat="1" applyFont="1"/>
    <xf numFmtId="172" fontId="9" fillId="0" borderId="24" xfId="10" applyNumberFormat="1" applyFont="1" applyBorder="1"/>
    <xf numFmtId="3" fontId="6" fillId="0" borderId="25" xfId="0" applyNumberFormat="1" applyFont="1" applyBorder="1"/>
    <xf numFmtId="0" fontId="7" fillId="0" borderId="3" xfId="4" applyFont="1" applyBorder="1"/>
    <xf numFmtId="0" fontId="7" fillId="0" borderId="20" xfId="4" applyFont="1" applyBorder="1"/>
    <xf numFmtId="165" fontId="9" fillId="0" borderId="41" xfId="0" applyNumberFormat="1" applyFont="1" applyBorder="1"/>
    <xf numFmtId="172" fontId="9" fillId="0" borderId="42" xfId="10" applyNumberFormat="1" applyFont="1" applyBorder="1"/>
    <xf numFmtId="3" fontId="9" fillId="0" borderId="43" xfId="0" applyNumberFormat="1" applyFont="1" applyBorder="1"/>
    <xf numFmtId="43" fontId="7" fillId="0" borderId="0" xfId="4" applyNumberFormat="1" applyFont="1"/>
    <xf numFmtId="3" fontId="20" fillId="0" borderId="2" xfId="4" applyNumberFormat="1" applyFont="1" applyFill="1" applyBorder="1" applyAlignment="1"/>
    <xf numFmtId="169" fontId="20" fillId="0" borderId="2" xfId="9" applyNumberFormat="1" applyFont="1" applyFill="1" applyBorder="1"/>
    <xf numFmtId="3" fontId="20" fillId="0" borderId="0" xfId="4" applyNumberFormat="1" applyFont="1" applyFill="1" applyBorder="1" applyAlignment="1"/>
    <xf numFmtId="166" fontId="7" fillId="0" borderId="0" xfId="4" applyNumberFormat="1" applyFont="1" applyFill="1" applyBorder="1" applyAlignment="1"/>
    <xf numFmtId="166" fontId="6" fillId="0" borderId="5" xfId="0" applyNumberFormat="1" applyFont="1" applyFill="1" applyBorder="1"/>
    <xf numFmtId="166" fontId="6" fillId="0" borderId="17" xfId="0" applyNumberFormat="1" applyFont="1" applyFill="1" applyBorder="1"/>
    <xf numFmtId="166" fontId="15" fillId="0" borderId="0" xfId="0" applyNumberFormat="1" applyFont="1" applyFill="1" applyBorder="1"/>
    <xf numFmtId="173" fontId="24" fillId="0" borderId="0" xfId="0" applyNumberFormat="1" applyFont="1"/>
    <xf numFmtId="0" fontId="41" fillId="0" borderId="0" xfId="2" applyFont="1" applyFill="1"/>
    <xf numFmtId="0" fontId="23" fillId="0" borderId="0" xfId="0" applyFont="1"/>
    <xf numFmtId="0" fontId="4" fillId="2" borderId="0" xfId="0" applyFont="1" applyFill="1"/>
    <xf numFmtId="172" fontId="0" fillId="0" borderId="0" xfId="10" applyNumberFormat="1" applyFont="1" applyFill="1"/>
    <xf numFmtId="0" fontId="30" fillId="11" borderId="0" xfId="0" applyFont="1" applyFill="1"/>
    <xf numFmtId="0" fontId="6" fillId="0" borderId="0" xfId="4" applyNumberFormat="1" applyFont="1" applyFill="1" applyBorder="1" applyAlignment="1">
      <alignment horizontal="left" wrapText="1"/>
    </xf>
    <xf numFmtId="165" fontId="0" fillId="0" borderId="0" xfId="0" applyNumberFormat="1" applyBorder="1"/>
    <xf numFmtId="172" fontId="0" fillId="0" borderId="0" xfId="10" applyNumberFormat="1" applyFont="1" applyFill="1" applyBorder="1"/>
    <xf numFmtId="165" fontId="1" fillId="0" borderId="0" xfId="10" applyNumberFormat="1" applyFont="1" applyBorder="1" applyAlignment="1"/>
    <xf numFmtId="165" fontId="4" fillId="7" borderId="0" xfId="10" applyNumberFormat="1" applyFont="1" applyFill="1" applyBorder="1" applyAlignment="1"/>
    <xf numFmtId="174" fontId="24" fillId="0" borderId="0" xfId="0" applyNumberFormat="1" applyFont="1"/>
    <xf numFmtId="0" fontId="18" fillId="0" borderId="0" xfId="4" applyFont="1" applyBorder="1"/>
    <xf numFmtId="0" fontId="24" fillId="0" borderId="0" xfId="0" applyFont="1" applyBorder="1"/>
    <xf numFmtId="3" fontId="8" fillId="0" borderId="0" xfId="4" applyNumberFormat="1" applyFont="1" applyBorder="1" applyAlignment="1"/>
    <xf numFmtId="166" fontId="6" fillId="0" borderId="0" xfId="0" applyNumberFormat="1" applyFont="1"/>
    <xf numFmtId="173" fontId="6" fillId="0" borderId="0" xfId="0" applyNumberFormat="1" applyFont="1"/>
    <xf numFmtId="0" fontId="44" fillId="0" borderId="0" xfId="0" applyFont="1"/>
    <xf numFmtId="0" fontId="9" fillId="0" borderId="0" xfId="0" applyFont="1" applyBorder="1" applyAlignment="1">
      <alignment vertical="center"/>
    </xf>
    <xf numFmtId="0" fontId="10" fillId="4"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xf numFmtId="0" fontId="36" fillId="0" borderId="0" xfId="0" applyFont="1" applyFill="1" applyBorder="1" applyAlignment="1">
      <alignment vertical="center"/>
    </xf>
    <xf numFmtId="0" fontId="7" fillId="0" borderId="2"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7" fillId="0" borderId="0" xfId="2" applyFont="1" applyFill="1" applyAlignment="1">
      <alignment horizontal="left" wrapText="1"/>
    </xf>
    <xf numFmtId="0" fontId="52" fillId="0" borderId="0" xfId="0" applyFont="1" applyFill="1" applyAlignment="1">
      <alignment vertical="center"/>
    </xf>
    <xf numFmtId="167" fontId="7" fillId="0" borderId="0" xfId="0" applyNumberFormat="1" applyFont="1" applyFill="1" applyBorder="1" applyAlignment="1">
      <alignment vertical="center"/>
    </xf>
    <xf numFmtId="167" fontId="36" fillId="0" borderId="0" xfId="0" applyNumberFormat="1" applyFont="1" applyFill="1" applyBorder="1" applyAlignment="1">
      <alignment vertical="center"/>
    </xf>
    <xf numFmtId="167" fontId="52" fillId="0" borderId="0" xfId="0" applyNumberFormat="1" applyFont="1" applyFill="1" applyAlignment="1">
      <alignment vertical="center"/>
    </xf>
    <xf numFmtId="0" fontId="10" fillId="0" borderId="0" xfId="0" applyFont="1" applyBorder="1" applyAlignment="1">
      <alignment vertical="center"/>
    </xf>
    <xf numFmtId="167" fontId="7" fillId="0" borderId="2" xfId="0" applyNumberFormat="1" applyFont="1" applyBorder="1" applyAlignment="1">
      <alignment vertical="center"/>
    </xf>
    <xf numFmtId="167" fontId="6" fillId="0" borderId="9" xfId="0" applyNumberFormat="1" applyFont="1" applyBorder="1" applyAlignment="1">
      <alignment vertical="center"/>
    </xf>
    <xf numFmtId="167" fontId="6" fillId="0" borderId="2" xfId="0" applyNumberFormat="1" applyFont="1" applyBorder="1" applyAlignment="1">
      <alignment vertical="center"/>
    </xf>
    <xf numFmtId="0" fontId="7" fillId="0" borderId="0" xfId="2" applyFont="1" applyFill="1" applyAlignment="1">
      <alignment wrapText="1"/>
    </xf>
    <xf numFmtId="0" fontId="40" fillId="10" borderId="29" xfId="12" applyFill="1"/>
    <xf numFmtId="166" fontId="8" fillId="0" borderId="33" xfId="7" applyNumberFormat="1" applyFont="1" applyBorder="1" applyAlignment="1"/>
    <xf numFmtId="166" fontId="8" fillId="0" borderId="35" xfId="7" applyNumberFormat="1" applyFont="1" applyBorder="1" applyAlignment="1"/>
    <xf numFmtId="166" fontId="8" fillId="0" borderId="37" xfId="7" applyNumberFormat="1" applyFont="1" applyBorder="1" applyAlignment="1"/>
    <xf numFmtId="2" fontId="30" fillId="0" borderId="0" xfId="0" applyNumberFormat="1" applyFont="1" applyFill="1"/>
    <xf numFmtId="0" fontId="40" fillId="10" borderId="0" xfId="12" applyFill="1" applyBorder="1"/>
    <xf numFmtId="0" fontId="10" fillId="4" borderId="0" xfId="0" applyFont="1" applyFill="1" applyBorder="1" applyAlignment="1">
      <alignment horizontal="left"/>
    </xf>
    <xf numFmtId="0" fontId="10" fillId="4" borderId="44" xfId="4" applyNumberFormat="1" applyFont="1" applyFill="1" applyBorder="1" applyAlignment="1"/>
    <xf numFmtId="2" fontId="30" fillId="0" borderId="0" xfId="0" applyNumberFormat="1" applyFont="1" applyFill="1" applyBorder="1"/>
    <xf numFmtId="0" fontId="17" fillId="0" borderId="0" xfId="0" applyFont="1"/>
    <xf numFmtId="165" fontId="24" fillId="0" borderId="16" xfId="13" applyNumberFormat="1" applyFont="1" applyBorder="1"/>
    <xf numFmtId="165" fontId="24" fillId="0" borderId="48" xfId="13" applyNumberFormat="1" applyFont="1" applyBorder="1"/>
    <xf numFmtId="165" fontId="24" fillId="0" borderId="49" xfId="13" applyNumberFormat="1" applyFont="1" applyBorder="1"/>
    <xf numFmtId="165" fontId="24" fillId="0" borderId="50" xfId="13" applyNumberFormat="1" applyFont="1" applyBorder="1"/>
    <xf numFmtId="165" fontId="24" fillId="0" borderId="51" xfId="13" applyNumberFormat="1" applyFont="1" applyBorder="1"/>
    <xf numFmtId="0" fontId="54" fillId="12" borderId="18" xfId="15" applyFont="1" applyBorder="1" applyAlignment="1">
      <alignment horizontal="left" wrapText="1"/>
    </xf>
    <xf numFmtId="0" fontId="54" fillId="12" borderId="17" xfId="15" applyFont="1" applyBorder="1" applyAlignment="1">
      <alignment horizontal="left" wrapText="1"/>
    </xf>
    <xf numFmtId="165" fontId="24" fillId="0" borderId="52" xfId="13" applyNumberFormat="1" applyFont="1" applyBorder="1"/>
    <xf numFmtId="165" fontId="24" fillId="0" borderId="53" xfId="13" applyNumberFormat="1" applyFont="1" applyBorder="1"/>
    <xf numFmtId="0" fontId="54" fillId="12" borderId="19" xfId="15" applyFont="1" applyBorder="1" applyAlignment="1">
      <alignment horizontal="left" wrapText="1"/>
    </xf>
    <xf numFmtId="0" fontId="21" fillId="13" borderId="18" xfId="13" applyFont="1" applyFill="1" applyBorder="1" applyAlignment="1">
      <alignment horizontal="left" wrapText="1"/>
    </xf>
    <xf numFmtId="0" fontId="21" fillId="13" borderId="17" xfId="13" applyFont="1" applyFill="1" applyBorder="1" applyAlignment="1">
      <alignment horizontal="left" wrapText="1"/>
    </xf>
    <xf numFmtId="0" fontId="21" fillId="13" borderId="19" xfId="13" applyFont="1" applyFill="1" applyBorder="1" applyAlignment="1">
      <alignment horizontal="left" wrapText="1"/>
    </xf>
    <xf numFmtId="0" fontId="21" fillId="14" borderId="47" xfId="13" applyFont="1" applyFill="1" applyBorder="1" applyAlignment="1">
      <alignment horizontal="left" wrapText="1"/>
    </xf>
    <xf numFmtId="0" fontId="21" fillId="13" borderId="47" xfId="13" applyFont="1" applyFill="1" applyBorder="1" applyAlignment="1">
      <alignment horizontal="left" wrapText="1"/>
    </xf>
    <xf numFmtId="0" fontId="0" fillId="10" borderId="0" xfId="0" applyFill="1"/>
    <xf numFmtId="166" fontId="6" fillId="0" borderId="5" xfId="0" applyNumberFormat="1" applyFont="1" applyBorder="1"/>
    <xf numFmtId="166" fontId="6" fillId="0" borderId="45" xfId="0" applyNumberFormat="1" applyFont="1" applyBorder="1"/>
    <xf numFmtId="166" fontId="6" fillId="0" borderId="17" xfId="0" applyNumberFormat="1" applyFont="1" applyBorder="1"/>
    <xf numFmtId="166" fontId="6" fillId="0" borderId="46" xfId="0" applyNumberFormat="1" applyFont="1" applyBorder="1"/>
    <xf numFmtId="0" fontId="10" fillId="4" borderId="40" xfId="0" applyFont="1" applyFill="1" applyBorder="1" applyAlignment="1">
      <alignment horizontal="left"/>
    </xf>
    <xf numFmtId="0" fontId="24" fillId="0" borderId="0" xfId="0" applyFont="1" applyFill="1"/>
    <xf numFmtId="0" fontId="23" fillId="0" borderId="0" xfId="0" applyFont="1" applyFill="1"/>
    <xf numFmtId="0" fontId="17" fillId="0" borderId="0" xfId="2" applyFont="1" applyFill="1" applyAlignment="1"/>
    <xf numFmtId="0" fontId="21" fillId="4" borderId="18" xfId="13" applyFont="1" applyFill="1" applyBorder="1" applyAlignment="1">
      <alignment horizontal="left" wrapText="1"/>
    </xf>
    <xf numFmtId="172" fontId="24" fillId="0" borderId="48" xfId="10" applyNumberFormat="1" applyFont="1" applyBorder="1"/>
    <xf numFmtId="0" fontId="24" fillId="10" borderId="0" xfId="0" applyFont="1" applyFill="1"/>
    <xf numFmtId="4" fontId="18" fillId="0" borderId="2" xfId="4" applyNumberFormat="1" applyFont="1" applyBorder="1"/>
    <xf numFmtId="4" fontId="17" fillId="0" borderId="2" xfId="4" applyNumberFormat="1" applyFont="1" applyFill="1" applyBorder="1"/>
    <xf numFmtId="0" fontId="24" fillId="0" borderId="2" xfId="13" applyFont="1" applyFill="1" applyBorder="1"/>
    <xf numFmtId="0" fontId="17" fillId="0" borderId="2" xfId="4" applyFont="1" applyFill="1" applyBorder="1"/>
    <xf numFmtId="3" fontId="17" fillId="0" borderId="2" xfId="4" applyNumberFormat="1" applyFont="1" applyFill="1" applyBorder="1"/>
    <xf numFmtId="4" fontId="18" fillId="0" borderId="2" xfId="4" applyNumberFormat="1" applyFont="1" applyFill="1" applyBorder="1"/>
    <xf numFmtId="3" fontId="18" fillId="0" borderId="2" xfId="4" applyNumberFormat="1" applyFont="1" applyFill="1" applyBorder="1"/>
    <xf numFmtId="0" fontId="21" fillId="4" borderId="4" xfId="4" applyFont="1" applyFill="1" applyBorder="1" applyAlignment="1">
      <alignment horizontal="left"/>
    </xf>
    <xf numFmtId="3" fontId="21" fillId="4" borderId="4" xfId="4" applyNumberFormat="1" applyFont="1" applyFill="1" applyBorder="1" applyAlignment="1">
      <alignment horizontal="left" wrapText="1"/>
    </xf>
    <xf numFmtId="0" fontId="21" fillId="4" borderId="4" xfId="4" applyFont="1" applyFill="1" applyBorder="1" applyAlignment="1">
      <alignment horizontal="left" wrapText="1"/>
    </xf>
    <xf numFmtId="4" fontId="24" fillId="0" borderId="0" xfId="0" applyNumberFormat="1" applyFont="1"/>
    <xf numFmtId="169" fontId="17" fillId="0" borderId="0" xfId="8" applyNumberFormat="1" applyFont="1" applyFill="1" applyBorder="1"/>
    <xf numFmtId="169" fontId="17" fillId="0" borderId="0" xfId="4" applyNumberFormat="1" applyFont="1" applyFill="1" applyBorder="1"/>
    <xf numFmtId="3" fontId="17" fillId="0" borderId="55" xfId="4" applyNumberFormat="1" applyFont="1" applyBorder="1" applyAlignment="1"/>
    <xf numFmtId="165" fontId="24" fillId="0" borderId="3" xfId="0" applyNumberFormat="1" applyFont="1" applyFill="1" applyBorder="1" applyAlignment="1"/>
    <xf numFmtId="165" fontId="20" fillId="0" borderId="3" xfId="0" applyNumberFormat="1" applyFont="1" applyFill="1" applyBorder="1" applyAlignment="1"/>
    <xf numFmtId="0" fontId="21" fillId="6" borderId="26" xfId="4" applyNumberFormat="1" applyFont="1" applyFill="1" applyBorder="1" applyAlignment="1"/>
    <xf numFmtId="0" fontId="17" fillId="0" borderId="54" xfId="4" applyNumberFormat="1" applyFont="1" applyBorder="1" applyAlignment="1"/>
    <xf numFmtId="0" fontId="17" fillId="0" borderId="0" xfId="4" applyFont="1" applyFill="1" applyBorder="1" applyAlignment="1"/>
    <xf numFmtId="168" fontId="26" fillId="0" borderId="19" xfId="4" applyNumberFormat="1" applyFont="1" applyFill="1" applyBorder="1" applyAlignment="1"/>
    <xf numFmtId="172" fontId="17" fillId="0" borderId="0" xfId="10" applyNumberFormat="1" applyFont="1"/>
    <xf numFmtId="172" fontId="17" fillId="0" borderId="0" xfId="0" applyNumberFormat="1" applyFont="1" applyFill="1"/>
    <xf numFmtId="165" fontId="17" fillId="0" borderId="0" xfId="0" applyNumberFormat="1" applyFont="1" applyFill="1"/>
    <xf numFmtId="175" fontId="6" fillId="0" borderId="0" xfId="9" applyNumberFormat="1" applyFont="1" applyFill="1" applyBorder="1" applyAlignment="1"/>
    <xf numFmtId="0" fontId="10" fillId="4" borderId="0" xfId="4" applyNumberFormat="1" applyFont="1" applyFill="1" applyBorder="1" applyAlignment="1">
      <alignment horizontal="left"/>
    </xf>
    <xf numFmtId="0" fontId="10" fillId="4" borderId="0" xfId="4" applyNumberFormat="1" applyFont="1" applyFill="1" applyBorder="1" applyAlignment="1">
      <alignment horizontal="left" wrapText="1"/>
    </xf>
    <xf numFmtId="177" fontId="7" fillId="0" borderId="5" xfId="4" applyNumberFormat="1" applyFont="1" applyBorder="1" applyAlignment="1"/>
    <xf numFmtId="177" fontId="7" fillId="0" borderId="2" xfId="4" applyNumberFormat="1" applyFont="1" applyBorder="1" applyAlignment="1"/>
    <xf numFmtId="177" fontId="8" fillId="0" borderId="2" xfId="4" applyNumberFormat="1" applyFont="1" applyBorder="1" applyAlignment="1"/>
    <xf numFmtId="176" fontId="7" fillId="0" borderId="5" xfId="4" applyNumberFormat="1" applyFont="1" applyFill="1" applyBorder="1" applyAlignment="1"/>
    <xf numFmtId="176" fontId="7" fillId="0" borderId="2" xfId="4" applyNumberFormat="1" applyFont="1" applyFill="1" applyBorder="1" applyAlignment="1"/>
    <xf numFmtId="176" fontId="8" fillId="0" borderId="2" xfId="4" applyNumberFormat="1" applyFont="1" applyFill="1" applyBorder="1" applyAlignment="1"/>
    <xf numFmtId="2" fontId="8" fillId="0" borderId="2" xfId="4" applyNumberFormat="1" applyFont="1" applyBorder="1" applyAlignment="1"/>
    <xf numFmtId="49" fontId="9" fillId="0" borderId="0" xfId="10" applyNumberFormat="1" applyFont="1"/>
    <xf numFmtId="0" fontId="0" fillId="0" borderId="0" xfId="0" applyAlignment="1">
      <alignment vertical="center" wrapText="1"/>
    </xf>
    <xf numFmtId="0" fontId="56" fillId="0" borderId="0" xfId="0"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0" fontId="30" fillId="0" borderId="0" xfId="0" applyFont="1" applyFill="1"/>
    <xf numFmtId="165" fontId="0" fillId="0" borderId="0" xfId="0" applyNumberFormat="1" applyFont="1" applyFill="1"/>
    <xf numFmtId="165" fontId="0" fillId="0" borderId="0" xfId="0" applyNumberFormat="1" applyFill="1"/>
    <xf numFmtId="172" fontId="0" fillId="0" borderId="0" xfId="0" applyNumberFormat="1" applyFill="1"/>
    <xf numFmtId="0" fontId="48" fillId="11" borderId="0" xfId="0" applyFont="1" applyFill="1"/>
    <xf numFmtId="165" fontId="38" fillId="11" borderId="0" xfId="0" applyNumberFormat="1" applyFont="1" applyFill="1"/>
    <xf numFmtId="0" fontId="59" fillId="3" borderId="29" xfId="12" applyNumberFormat="1" applyFont="1" applyFill="1" applyAlignment="1"/>
    <xf numFmtId="0" fontId="7" fillId="0" borderId="0" xfId="4" applyFont="1" applyAlignment="1">
      <alignment wrapText="1"/>
    </xf>
    <xf numFmtId="0" fontId="60" fillId="0" borderId="0" xfId="0" applyFont="1"/>
    <xf numFmtId="0" fontId="0" fillId="15" borderId="0" xfId="0" applyFont="1" applyFill="1"/>
    <xf numFmtId="165" fontId="0" fillId="15" borderId="0" xfId="0" applyNumberFormat="1" applyFont="1" applyFill="1"/>
    <xf numFmtId="172" fontId="0" fillId="0" borderId="0" xfId="0" applyNumberFormat="1" applyBorder="1"/>
    <xf numFmtId="165" fontId="30" fillId="11" borderId="0" xfId="10" applyNumberFormat="1" applyFont="1" applyFill="1" applyBorder="1"/>
    <xf numFmtId="0" fontId="60" fillId="11" borderId="21" xfId="0" applyFont="1" applyFill="1" applyBorder="1"/>
    <xf numFmtId="0" fontId="46" fillId="11" borderId="32" xfId="0" applyFont="1" applyFill="1" applyBorder="1"/>
    <xf numFmtId="9" fontId="46" fillId="11" borderId="32" xfId="0" applyNumberFormat="1" applyFont="1" applyFill="1" applyBorder="1"/>
    <xf numFmtId="9" fontId="46" fillId="11" borderId="22" xfId="0" applyNumberFormat="1" applyFont="1" applyFill="1" applyBorder="1"/>
    <xf numFmtId="0" fontId="0" fillId="0" borderId="57" xfId="0" quotePrefix="1" applyBorder="1"/>
    <xf numFmtId="165" fontId="0" fillId="0" borderId="58" xfId="0" applyNumberFormat="1" applyBorder="1"/>
    <xf numFmtId="0" fontId="0" fillId="0" borderId="57" xfId="0" applyBorder="1"/>
    <xf numFmtId="165" fontId="0" fillId="0" borderId="58" xfId="10" applyNumberFormat="1" applyFont="1" applyFill="1" applyBorder="1"/>
    <xf numFmtId="0" fontId="30" fillId="11" borderId="57" xfId="0" applyFont="1" applyFill="1" applyBorder="1"/>
    <xf numFmtId="0" fontId="30" fillId="11" borderId="0" xfId="0" applyFont="1" applyFill="1" applyBorder="1"/>
    <xf numFmtId="165" fontId="0" fillId="11" borderId="0" xfId="0" applyNumberFormat="1" applyFont="1" applyFill="1" applyBorder="1"/>
    <xf numFmtId="165" fontId="30" fillId="11" borderId="58" xfId="0" applyNumberFormat="1" applyFont="1" applyFill="1" applyBorder="1"/>
    <xf numFmtId="0" fontId="30" fillId="11" borderId="59" xfId="0" applyFont="1" applyFill="1" applyBorder="1"/>
    <xf numFmtId="0" fontId="30" fillId="11" borderId="60" xfId="0" applyFont="1" applyFill="1" applyBorder="1"/>
    <xf numFmtId="165" fontId="0" fillId="11" borderId="60" xfId="0" applyNumberFormat="1" applyFont="1" applyFill="1" applyBorder="1"/>
    <xf numFmtId="165" fontId="30" fillId="11" borderId="61" xfId="10" applyNumberFormat="1" applyFont="1" applyFill="1" applyBorder="1"/>
    <xf numFmtId="165" fontId="0" fillId="15" borderId="0" xfId="0" applyNumberFormat="1" applyFont="1" applyFill="1" applyBorder="1"/>
    <xf numFmtId="165" fontId="1" fillId="15" borderId="0" xfId="10" applyNumberFormat="1" applyFont="1" applyFill="1" applyBorder="1"/>
    <xf numFmtId="0" fontId="61" fillId="0" borderId="0" xfId="0" applyFont="1"/>
    <xf numFmtId="172" fontId="9" fillId="0" borderId="0" xfId="10" applyNumberFormat="1" applyFont="1"/>
    <xf numFmtId="3" fontId="49" fillId="0" borderId="0" xfId="0" applyNumberFormat="1" applyFont="1" applyFill="1" applyBorder="1" applyAlignment="1"/>
    <xf numFmtId="172" fontId="25" fillId="0" borderId="0" xfId="0" applyNumberFormat="1" applyFont="1"/>
    <xf numFmtId="0" fontId="6" fillId="0" borderId="0" xfId="0" applyFont="1" applyFill="1" applyAlignment="1"/>
    <xf numFmtId="0" fontId="62" fillId="0" borderId="0" xfId="0" applyFont="1" applyBorder="1" applyAlignment="1">
      <alignment vertical="center"/>
    </xf>
    <xf numFmtId="3" fontId="62" fillId="0" borderId="0" xfId="0" applyNumberFormat="1" applyFont="1" applyBorder="1" applyAlignment="1">
      <alignment vertical="center"/>
    </xf>
    <xf numFmtId="172" fontId="30" fillId="0" borderId="0" xfId="0" applyNumberFormat="1" applyFont="1" applyFill="1" applyBorder="1"/>
    <xf numFmtId="172" fontId="30" fillId="0" borderId="0" xfId="10" applyNumberFormat="1" applyFont="1" applyFill="1" applyBorder="1"/>
    <xf numFmtId="0" fontId="3" fillId="10" borderId="1" xfId="3" applyFill="1" applyAlignment="1">
      <alignment horizontal="right"/>
    </xf>
    <xf numFmtId="49" fontId="4" fillId="7" borderId="0" xfId="10" applyNumberFormat="1" applyFont="1" applyFill="1" applyBorder="1" applyAlignment="1">
      <alignment horizontal="right"/>
    </xf>
    <xf numFmtId="49" fontId="4" fillId="7" borderId="0" xfId="0" applyNumberFormat="1" applyFont="1" applyFill="1" applyBorder="1" applyAlignment="1">
      <alignment horizontal="right"/>
    </xf>
    <xf numFmtId="49" fontId="4" fillId="2" borderId="0" xfId="0" applyNumberFormat="1" applyFont="1" applyFill="1" applyAlignment="1">
      <alignment horizontal="right"/>
    </xf>
    <xf numFmtId="49" fontId="4" fillId="2" borderId="0" xfId="0" applyNumberFormat="1" applyFont="1" applyFill="1" applyBorder="1" applyAlignment="1">
      <alignment horizontal="right"/>
    </xf>
    <xf numFmtId="0" fontId="0" fillId="15" borderId="0" xfId="0" quotePrefix="1" applyFill="1"/>
    <xf numFmtId="0" fontId="0" fillId="15" borderId="0" xfId="0" applyFill="1"/>
    <xf numFmtId="165" fontId="0" fillId="15" borderId="0" xfId="0" applyNumberFormat="1" applyFill="1"/>
    <xf numFmtId="165" fontId="0" fillId="15" borderId="0" xfId="0" applyNumberFormat="1" applyFill="1" applyBorder="1"/>
    <xf numFmtId="165" fontId="0" fillId="15" borderId="0" xfId="10" applyNumberFormat="1" applyFont="1" applyFill="1" applyBorder="1"/>
    <xf numFmtId="0" fontId="15" fillId="0" borderId="0" xfId="4" applyFont="1" applyFill="1"/>
    <xf numFmtId="0" fontId="10" fillId="4" borderId="62" xfId="4" applyFont="1" applyFill="1" applyBorder="1" applyAlignment="1">
      <alignment horizontal="left"/>
    </xf>
    <xf numFmtId="0" fontId="40" fillId="8" borderId="0" xfId="12" applyFill="1" applyBorder="1"/>
    <xf numFmtId="0" fontId="6" fillId="0" borderId="3" xfId="0" applyFont="1" applyBorder="1"/>
    <xf numFmtId="3" fontId="6" fillId="0" borderId="2" xfId="0" applyNumberFormat="1" applyFont="1" applyBorder="1"/>
    <xf numFmtId="3" fontId="6" fillId="0" borderId="63" xfId="0" applyNumberFormat="1" applyFont="1" applyBorder="1" applyAlignment="1">
      <alignment horizontal="right"/>
    </xf>
    <xf numFmtId="0" fontId="9" fillId="0" borderId="64" xfId="0" applyFont="1" applyBorder="1"/>
    <xf numFmtId="3" fontId="9" fillId="0" borderId="66" xfId="0" applyNumberFormat="1" applyFont="1" applyBorder="1" applyAlignment="1">
      <alignment horizontal="right"/>
    </xf>
    <xf numFmtId="10" fontId="0" fillId="0" borderId="0" xfId="0" applyNumberFormat="1" applyAlignment="1"/>
    <xf numFmtId="3" fontId="0" fillId="0" borderId="0" xfId="0" applyNumberFormat="1" applyFont="1" applyFill="1" applyAlignment="1"/>
    <xf numFmtId="172" fontId="0" fillId="0" borderId="0" xfId="10" applyNumberFormat="1" applyFont="1" applyAlignment="1"/>
    <xf numFmtId="172" fontId="0" fillId="0" borderId="0" xfId="0" applyNumberFormat="1" applyAlignment="1"/>
    <xf numFmtId="165" fontId="0" fillId="0" borderId="0" xfId="0" applyNumberFormat="1" applyAlignment="1"/>
    <xf numFmtId="3" fontId="18" fillId="0" borderId="0" xfId="4" applyNumberFormat="1" applyFont="1" applyBorder="1" applyAlignment="1"/>
    <xf numFmtId="0" fontId="40" fillId="3" borderId="0" xfId="12" applyFill="1" applyBorder="1"/>
    <xf numFmtId="0" fontId="24" fillId="0" borderId="0" xfId="4" applyNumberFormat="1" applyFont="1" applyFill="1" applyBorder="1" applyAlignment="1">
      <alignment horizontal="left"/>
    </xf>
    <xf numFmtId="3" fontId="24" fillId="0" borderId="0" xfId="4" applyNumberFormat="1" applyFont="1" applyFill="1" applyBorder="1" applyAlignment="1"/>
    <xf numFmtId="3" fontId="21" fillId="5" borderId="24" xfId="4" applyNumberFormat="1" applyFont="1" applyFill="1" applyBorder="1" applyAlignment="1">
      <alignment horizontal="right"/>
    </xf>
    <xf numFmtId="3" fontId="21" fillId="9" borderId="0" xfId="4" applyNumberFormat="1" applyFont="1" applyFill="1" applyBorder="1" applyAlignment="1"/>
    <xf numFmtId="0" fontId="10" fillId="9" borderId="0" xfId="4" applyFont="1" applyFill="1"/>
    <xf numFmtId="0" fontId="26" fillId="0" borderId="13" xfId="4" applyNumberFormat="1" applyFont="1" applyFill="1" applyBorder="1" applyAlignment="1">
      <alignment wrapText="1"/>
    </xf>
    <xf numFmtId="169" fontId="26" fillId="0" borderId="0" xfId="9" applyNumberFormat="1" applyFont="1" applyFill="1" applyBorder="1"/>
    <xf numFmtId="3" fontId="17" fillId="0" borderId="23" xfId="4" applyNumberFormat="1" applyFont="1" applyFill="1" applyBorder="1" applyAlignment="1"/>
    <xf numFmtId="1" fontId="25" fillId="0" borderId="0" xfId="0" applyNumberFormat="1" applyFont="1"/>
    <xf numFmtId="0" fontId="6" fillId="0" borderId="3" xfId="0" applyFont="1" applyFill="1" applyBorder="1"/>
    <xf numFmtId="3" fontId="6" fillId="0" borderId="2" xfId="0" applyNumberFormat="1" applyFont="1" applyFill="1" applyBorder="1"/>
    <xf numFmtId="3" fontId="6" fillId="0" borderId="63" xfId="0" applyNumberFormat="1" applyFont="1" applyFill="1" applyBorder="1" applyAlignment="1">
      <alignment horizontal="right"/>
    </xf>
    <xf numFmtId="0" fontId="30" fillId="0" borderId="0" xfId="0" applyFont="1"/>
    <xf numFmtId="3" fontId="30" fillId="0" borderId="0" xfId="0" applyNumberFormat="1" applyFont="1"/>
    <xf numFmtId="0" fontId="10" fillId="2" borderId="67" xfId="0" applyFont="1" applyFill="1" applyBorder="1" applyAlignment="1"/>
    <xf numFmtId="0" fontId="4" fillId="2" borderId="68" xfId="0" applyFont="1" applyFill="1" applyBorder="1" applyAlignment="1">
      <alignment horizontal="right"/>
    </xf>
    <xf numFmtId="0" fontId="0" fillId="0" borderId="0" xfId="0" applyAlignment="1">
      <alignment horizontal="right"/>
    </xf>
    <xf numFmtId="169" fontId="0" fillId="0" borderId="0" xfId="9" applyNumberFormat="1" applyFont="1" applyAlignment="1"/>
    <xf numFmtId="10" fontId="0" fillId="0" borderId="0" xfId="0" applyNumberFormat="1"/>
    <xf numFmtId="10" fontId="0" fillId="0" borderId="0" xfId="0" applyNumberFormat="1" applyFont="1" applyFill="1" applyBorder="1"/>
    <xf numFmtId="0" fontId="37" fillId="0" borderId="0" xfId="0" applyFont="1" applyAlignment="1"/>
    <xf numFmtId="2" fontId="0" fillId="0" borderId="0" xfId="0" applyNumberFormat="1" applyFont="1" applyFill="1" applyAlignment="1"/>
    <xf numFmtId="2" fontId="30" fillId="0" borderId="0" xfId="0" applyNumberFormat="1" applyFont="1" applyFill="1" applyAlignment="1"/>
    <xf numFmtId="0" fontId="45" fillId="3" borderId="0" xfId="4" applyFont="1" applyFill="1"/>
    <xf numFmtId="0" fontId="64" fillId="0" borderId="0" xfId="0" applyFont="1" applyFill="1"/>
    <xf numFmtId="3" fontId="9" fillId="0" borderId="65" xfId="0" applyNumberFormat="1" applyFont="1" applyFill="1" applyBorder="1"/>
    <xf numFmtId="3" fontId="0" fillId="0" borderId="0" xfId="0" applyNumberFormat="1" applyFont="1" applyFill="1"/>
    <xf numFmtId="0" fontId="10" fillId="4" borderId="0" xfId="0" applyFont="1" applyFill="1" applyBorder="1" applyAlignment="1">
      <alignment horizontal="left" wrapText="1"/>
    </xf>
    <xf numFmtId="0" fontId="7" fillId="0" borderId="0" xfId="4" applyFont="1" applyFill="1" applyAlignment="1">
      <alignment wrapText="1"/>
    </xf>
    <xf numFmtId="0" fontId="21" fillId="6" borderId="7" xfId="4" applyNumberFormat="1" applyFont="1" applyFill="1" applyBorder="1" applyAlignment="1">
      <alignment horizontal="center"/>
    </xf>
    <xf numFmtId="3" fontId="21" fillId="6" borderId="7" xfId="4" applyNumberFormat="1" applyFont="1" applyFill="1" applyBorder="1" applyAlignment="1"/>
    <xf numFmtId="0" fontId="21" fillId="6" borderId="7" xfId="4" applyNumberFormat="1" applyFont="1" applyFill="1" applyBorder="1" applyAlignment="1"/>
    <xf numFmtId="0" fontId="21" fillId="5" borderId="7" xfId="4" applyNumberFormat="1" applyFont="1" applyFill="1" applyBorder="1" applyAlignment="1"/>
    <xf numFmtId="168" fontId="18" fillId="0" borderId="11" xfId="8" applyNumberFormat="1" applyFont="1" applyBorder="1"/>
    <xf numFmtId="0" fontId="21" fillId="6" borderId="30" xfId="4" applyNumberFormat="1" applyFont="1" applyFill="1" applyBorder="1" applyAlignment="1"/>
    <xf numFmtId="0" fontId="65" fillId="0" borderId="0" xfId="0" applyFont="1"/>
    <xf numFmtId="0" fontId="65" fillId="0" borderId="0" xfId="0" applyFont="1" applyAlignment="1">
      <alignment horizontal="left"/>
    </xf>
    <xf numFmtId="1" fontId="65" fillId="0" borderId="0" xfId="0" applyNumberFormat="1" applyFont="1"/>
    <xf numFmtId="0" fontId="66" fillId="0" borderId="3" xfId="0" applyFont="1" applyBorder="1"/>
    <xf numFmtId="3" fontId="66" fillId="0" borderId="2" xfId="0" applyNumberFormat="1" applyFont="1" applyBorder="1"/>
    <xf numFmtId="175" fontId="17" fillId="0" borderId="24" xfId="9" applyNumberFormat="1" applyFont="1" applyFill="1" applyBorder="1" applyAlignment="1"/>
    <xf numFmtId="178" fontId="25" fillId="0" borderId="0" xfId="0" applyNumberFormat="1" applyFont="1"/>
    <xf numFmtId="179" fontId="6" fillId="0" borderId="0" xfId="0" applyNumberFormat="1" applyFont="1" applyFill="1" applyBorder="1" applyAlignment="1"/>
    <xf numFmtId="0" fontId="6" fillId="11" borderId="3" xfId="0" applyFont="1" applyFill="1" applyBorder="1"/>
    <xf numFmtId="3" fontId="6" fillId="11" borderId="2" xfId="0" applyNumberFormat="1" applyFont="1" applyFill="1" applyBorder="1"/>
    <xf numFmtId="3" fontId="6" fillId="11" borderId="63" xfId="0" applyNumberFormat="1" applyFont="1" applyFill="1" applyBorder="1" applyAlignment="1">
      <alignment horizontal="right"/>
    </xf>
    <xf numFmtId="3" fontId="67" fillId="0" borderId="0" xfId="0" applyNumberFormat="1" applyFont="1" applyFill="1" applyBorder="1" applyAlignment="1"/>
    <xf numFmtId="0" fontId="10" fillId="5" borderId="0" xfId="0" applyFont="1" applyFill="1" applyAlignment="1">
      <alignment horizontal="left" wrapText="1"/>
    </xf>
    <xf numFmtId="172" fontId="8" fillId="0" borderId="0" xfId="10" applyNumberFormat="1" applyFont="1"/>
    <xf numFmtId="43" fontId="8" fillId="0" borderId="0" xfId="4" applyNumberFormat="1" applyFont="1"/>
    <xf numFmtId="0" fontId="68" fillId="3" borderId="69" xfId="16" applyFill="1"/>
    <xf numFmtId="3" fontId="68" fillId="3" borderId="69" xfId="16" applyNumberFormat="1" applyFill="1"/>
    <xf numFmtId="0" fontId="69" fillId="10" borderId="0" xfId="16" applyFont="1" applyFill="1" applyBorder="1"/>
    <xf numFmtId="0" fontId="68" fillId="3" borderId="0" xfId="16" applyFill="1" applyBorder="1"/>
    <xf numFmtId="0" fontId="10" fillId="4" borderId="15" xfId="4" applyFont="1" applyFill="1" applyBorder="1" applyAlignment="1">
      <alignment horizontal="left"/>
    </xf>
    <xf numFmtId="0" fontId="10" fillId="2" borderId="0" xfId="4" applyFont="1" applyFill="1" applyAlignment="1">
      <alignment wrapText="1"/>
    </xf>
    <xf numFmtId="0" fontId="8" fillId="16" borderId="2" xfId="4" applyFont="1" applyFill="1" applyBorder="1"/>
    <xf numFmtId="0" fontId="8" fillId="16" borderId="41" xfId="4" applyFont="1" applyFill="1" applyBorder="1"/>
    <xf numFmtId="172" fontId="9" fillId="0" borderId="70" xfId="10" applyNumberFormat="1" applyFont="1" applyFill="1" applyBorder="1"/>
    <xf numFmtId="172" fontId="6" fillId="0" borderId="24" xfId="10" applyNumberFormat="1" applyFont="1" applyFill="1" applyBorder="1"/>
    <xf numFmtId="3" fontId="6" fillId="0" borderId="24" xfId="0" applyNumberFormat="1" applyFont="1" applyFill="1" applyBorder="1"/>
    <xf numFmtId="0" fontId="10" fillId="7" borderId="71" xfId="0" applyFont="1" applyFill="1" applyBorder="1" applyAlignment="1">
      <alignment horizontal="left" wrapText="1"/>
    </xf>
    <xf numFmtId="3" fontId="9" fillId="0" borderId="72" xfId="0" applyNumberFormat="1" applyFont="1" applyBorder="1"/>
    <xf numFmtId="3" fontId="9" fillId="0" borderId="73" xfId="0" applyNumberFormat="1" applyFont="1" applyBorder="1"/>
    <xf numFmtId="0" fontId="21" fillId="6" borderId="27" xfId="4" applyFont="1" applyFill="1" applyBorder="1"/>
    <xf numFmtId="0" fontId="21" fillId="5" borderId="0" xfId="4" applyFont="1" applyFill="1"/>
    <xf numFmtId="3" fontId="21" fillId="6" borderId="0" xfId="4" applyNumberFormat="1" applyFont="1" applyFill="1"/>
    <xf numFmtId="0" fontId="21" fillId="6" borderId="0" xfId="4" applyFont="1" applyFill="1" applyAlignment="1">
      <alignment wrapText="1"/>
    </xf>
    <xf numFmtId="0" fontId="21" fillId="6" borderId="0" xfId="4" applyFont="1" applyFill="1"/>
    <xf numFmtId="0" fontId="70" fillId="0" borderId="0" xfId="0" applyFont="1"/>
    <xf numFmtId="172" fontId="7" fillId="0" borderId="0" xfId="4" applyNumberFormat="1" applyFont="1"/>
    <xf numFmtId="0" fontId="17" fillId="0" borderId="13" xfId="4" applyNumberFormat="1" applyFont="1" applyFill="1" applyBorder="1" applyAlignment="1">
      <alignment wrapText="1"/>
    </xf>
    <xf numFmtId="168" fontId="17" fillId="0" borderId="5" xfId="8" applyNumberFormat="1" applyFont="1" applyFill="1" applyBorder="1"/>
    <xf numFmtId="168" fontId="17" fillId="0" borderId="56" xfId="8" applyNumberFormat="1" applyFont="1" applyFill="1" applyBorder="1"/>
    <xf numFmtId="172" fontId="25" fillId="0" borderId="0" xfId="10" quotePrefix="1" applyNumberFormat="1" applyFont="1"/>
    <xf numFmtId="3" fontId="6" fillId="0" borderId="0" xfId="0" applyNumberFormat="1" applyFont="1" applyFill="1"/>
    <xf numFmtId="3" fontId="9" fillId="0" borderId="0" xfId="0" applyNumberFormat="1" applyFont="1" applyFill="1"/>
    <xf numFmtId="0" fontId="37" fillId="0" borderId="0" xfId="0" applyFont="1" applyAlignment="1">
      <alignment wrapText="1"/>
    </xf>
    <xf numFmtId="0" fontId="40" fillId="3" borderId="69" xfId="16" applyFont="1" applyFill="1"/>
    <xf numFmtId="172" fontId="65" fillId="0" borderId="0" xfId="0" applyNumberFormat="1" applyFont="1"/>
    <xf numFmtId="0" fontId="9" fillId="0" borderId="0" xfId="4" applyFont="1" applyAlignment="1">
      <alignment horizontal="left" vertical="center" wrapText="1"/>
    </xf>
    <xf numFmtId="0" fontId="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37" fillId="0" borderId="0" xfId="0" applyFont="1" applyAlignment="1">
      <alignment horizontal="left" wrapText="1"/>
    </xf>
    <xf numFmtId="0" fontId="7" fillId="0" borderId="0" xfId="0" applyFont="1" applyFill="1" applyAlignment="1">
      <alignment horizontal="left" wrapText="1"/>
    </xf>
    <xf numFmtId="0" fontId="7" fillId="0" borderId="0" xfId="4" applyFont="1" applyAlignment="1">
      <alignment horizontal="left" wrapText="1"/>
    </xf>
    <xf numFmtId="0" fontId="24" fillId="0" borderId="0" xfId="0" applyFont="1" applyAlignment="1">
      <alignment horizontal="left" wrapText="1"/>
    </xf>
    <xf numFmtId="0" fontId="17" fillId="0" borderId="0" xfId="2" applyFont="1" applyFill="1" applyAlignment="1">
      <alignment horizontal="left" wrapText="1"/>
    </xf>
  </cellXfs>
  <cellStyles count="17">
    <cellStyle name="Accent6" xfId="15" builtinId="49"/>
    <cellStyle name="Comma" xfId="10" builtinId="3"/>
    <cellStyle name="Erotin 2" xfId="1" xr:uid="{00000000-0005-0000-0000-000000000000}"/>
    <cellStyle name="Heading 1" xfId="16" builtinId="16"/>
    <cellStyle name="Heading 2" xfId="12" builtinId="17"/>
    <cellStyle name="Heading 3" xfId="3" builtinId="18"/>
    <cellStyle name="Normaali 11" xfId="7" xr:uid="{00000000-0005-0000-0000-000002000000}"/>
    <cellStyle name="Normaali 13" xfId="13" xr:uid="{BE8D02C9-179D-4B07-ABDC-5C0FB1C343D4}"/>
    <cellStyle name="Normaali 2" xfId="4" xr:uid="{00000000-0005-0000-0000-000003000000}"/>
    <cellStyle name="Normaali 2 2 2" xfId="11" xr:uid="{00000000-0005-0000-0000-000004000000}"/>
    <cellStyle name="Normaali 2 3" xfId="14" xr:uid="{73527740-3C0F-4B21-A486-46F10BA75326}"/>
    <cellStyle name="Normaali 5" xfId="6" xr:uid="{00000000-0005-0000-0000-000005000000}"/>
    <cellStyle name="Normaali 9" xfId="5" xr:uid="{00000000-0005-0000-0000-000006000000}"/>
    <cellStyle name="Normal" xfId="0" builtinId="0"/>
    <cellStyle name="Percent" xfId="9" builtinId="5"/>
    <cellStyle name="Prosenttia 2" xfId="8" xr:uid="{00000000-0005-0000-0000-00000C000000}"/>
    <cellStyle name="Title" xfId="2" builtinId="15"/>
  </cellStyles>
  <dxfs count="242">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0" formatCode="#,##0.0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00"/>
      <border diagonalUp="0" diagonalDown="0">
        <left/>
        <right style="thin">
          <color theme="4"/>
        </right>
        <top style="thin">
          <color auto="1"/>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style="medium">
          <color indexed="64"/>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style="medium">
          <color indexed="64"/>
        </left>
        <right/>
        <top style="thin">
          <color theme="4"/>
        </top>
        <bottom style="medium">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ck">
          <color theme="4" tint="0.499984740745262"/>
        </top>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3" formatCode="#,##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ajor"/>
      </font>
    </dxf>
    <dxf>
      <border outline="0">
        <bottom style="thin">
          <color indexed="64"/>
        </bottom>
      </border>
    </dxf>
    <dxf>
      <font>
        <b/>
        <i val="0"/>
        <strike val="0"/>
        <condense val="0"/>
        <extend val="0"/>
        <outline val="0"/>
        <shadow val="0"/>
        <u val="none"/>
        <vertAlign val="baseline"/>
        <sz val="12"/>
        <color theme="0"/>
        <name val="Arial"/>
        <family val="2"/>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outline="0">
        <top style="thin">
          <color theme="4"/>
        </top>
      </border>
    </dxf>
    <dxf>
      <border outline="0">
        <left style="thin">
          <color theme="4"/>
        </left>
        <right style="thin">
          <color indexed="64"/>
        </right>
      </border>
    </dxf>
    <dxf>
      <border outline="0">
        <bottom style="thin">
          <color indexed="64"/>
        </bottom>
      </border>
    </dxf>
    <dxf>
      <font>
        <b/>
        <i val="0"/>
        <strike val="0"/>
        <condense val="0"/>
        <extend val="0"/>
        <outline val="0"/>
        <shadow val="0"/>
        <u val="none"/>
        <vertAlign val="baseline"/>
        <sz val="12"/>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border diagonalUp="0" diagonalDown="0">
        <left style="thin">
          <color theme="8"/>
        </left>
        <right/>
        <top style="thin">
          <color theme="8"/>
        </top>
        <bottom/>
        <vertical/>
        <horizontal/>
      </border>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right style="thin">
          <color theme="8"/>
        </right>
        <top style="thick">
          <color theme="4" tint="0.499984740745262"/>
        </top>
      </border>
    </dxf>
    <dxf>
      <font>
        <b val="0"/>
        <i val="0"/>
        <strike val="0"/>
        <condense val="0"/>
        <extend val="0"/>
        <outline val="0"/>
        <shadow val="0"/>
        <u val="none"/>
        <vertAlign val="baseline"/>
        <sz val="12"/>
        <color auto="1"/>
        <name val="Arial"/>
        <family val="2"/>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rgb="FF1B396D"/>
        </top>
        <bottom style="thin">
          <color rgb="FF00959B"/>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right style="thin">
          <color rgb="FF1B396D"/>
        </right>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border diagonalUp="0" diagonalDown="0" outline="0">
        <left/>
        <right/>
        <top/>
        <bottom/>
      </border>
    </dxf>
    <dxf>
      <numFmt numFmtId="165" formatCode="#,##0_ ;[Red]\-#,##0\ "/>
    </dxf>
    <dxf>
      <font>
        <b/>
        <i val="0"/>
        <strike val="0"/>
        <condense val="0"/>
        <extend val="0"/>
        <outline val="0"/>
        <shadow val="0"/>
        <u val="none"/>
        <vertAlign val="baseline"/>
        <sz val="11"/>
        <color theme="0"/>
        <name val="Arial"/>
        <family val="2"/>
        <scheme val="minor"/>
      </font>
      <fill>
        <patternFill patternType="solid">
          <fgColor indexed="64"/>
          <bgColor theme="4"/>
        </patternFill>
      </fill>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dxf>
    <dxf>
      <numFmt numFmtId="3" formatCode="#,##0"/>
    </dxf>
    <dxf>
      <border outline="0">
        <top style="thin">
          <color theme="9"/>
        </top>
      </border>
    </dxf>
    <dxf>
      <font>
        <strike val="0"/>
        <outline val="0"/>
        <shadow val="0"/>
        <u val="none"/>
        <vertAlign val="baseline"/>
        <sz val="11"/>
        <color theme="1"/>
        <name val="Arial"/>
        <family val="2"/>
        <scheme val="minor"/>
      </font>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i val="0"/>
        <strike val="0"/>
        <condense val="0"/>
        <extend val="0"/>
        <outline val="0"/>
        <shadow val="0"/>
        <u val="none"/>
        <vertAlign val="baseline"/>
        <sz val="11"/>
        <color auto="1"/>
        <name val="Arial"/>
        <family val="2"/>
        <scheme val="major"/>
      </font>
      <fill>
        <patternFill patternType="solid">
          <fgColor indexed="64"/>
          <bgColor theme="0"/>
        </patternFill>
      </fill>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aj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family val="2"/>
        <scheme val="major"/>
      </font>
      <fill>
        <patternFill patternType="none">
          <fgColor indexed="64"/>
          <bgColor indexed="65"/>
        </patternFill>
      </fill>
    </dxf>
    <dxf>
      <font>
        <b/>
        <i val="0"/>
        <strike val="0"/>
        <condense val="0"/>
        <extend val="0"/>
        <outline val="0"/>
        <shadow val="0"/>
        <u val="none"/>
        <vertAlign val="baseline"/>
        <sz val="11"/>
        <color theme="0"/>
        <name val="Arial"/>
        <family val="2"/>
        <scheme val="major"/>
      </font>
      <fill>
        <patternFill patternType="solid">
          <fgColor indexed="64"/>
          <bgColor theme="3"/>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0"/>
        <color theme="1"/>
        <name val="Arial"/>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3" formatCode="#,##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numFmt numFmtId="168"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family val="2"/>
        <scheme val="major"/>
      </font>
      <numFmt numFmtId="3" formatCode="#,##0"/>
      <fill>
        <patternFill>
          <bgColor rgb="FFFFFF00"/>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172"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1" defaultTableStyle="TableStyleMedium2" defaultPivotStyle="PivotStyleLight16">
    <tableStyle name="Table Style 1" pivot="0" count="0" xr9:uid="{D4465EB1-98D3-4A32-AF60-0D5A43E719A3}"/>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9C5065-1A22-48EA-97F9-BF731F16EAAB}" name="Yhteenveto_vuoden_2026_rahoituksesta" displayName="Yhteenveto_vuoden_2026_rahoituksesta" ref="A6:L29" headerRowCount="0" totalsRowShown="0" headerRowDxfId="241" dataDxfId="240">
  <tableColumns count="12">
    <tableColumn id="1" xr3:uid="{8ED03185-E587-415D-AEDC-27B6C717266A}" name="Yhteenveto hyvinvointialuiden rahoituksesta vuodelle 2024 (vuoden 2023 tasossa)" headerRowDxfId="239" dataDxfId="238" headerRowCellStyle="Normaali 2" dataCellStyle="Normaali 2"/>
    <tableColumn id="2" xr3:uid="{B635AAD8-001E-4AD7-96E2-B3A14EBAAF2E}" name=" " headerRowDxfId="237" dataDxfId="236" headerRowCellStyle="Normaali 2"/>
    <tableColumn id="3" xr3:uid="{26BFC506-C1D1-47AE-8771-733DF63F38C9}" name="Sarake1" headerRowDxfId="235" dataDxfId="234" headerRowCellStyle="Normaali 2"/>
    <tableColumn id="4" xr3:uid="{0E00FD68-41C6-4675-B1D3-F278E62CF99D}" name="Sarake3" headerRowDxfId="233" dataDxfId="232" headerRowCellStyle="Normaali 2"/>
    <tableColumn id="5" xr3:uid="{751C98AD-6B78-436D-BA48-557432624FD7}" name="Sarake4" headerRowDxfId="231" dataDxfId="230" headerRowCellStyle="Normaali 2"/>
    <tableColumn id="6" xr3:uid="{7C99F13B-5E8F-475D-A591-1B595B1BFD09}" name="Sarake5" headerRowDxfId="229" dataDxfId="228" headerRowCellStyle="Normaali 2"/>
    <tableColumn id="8" xr3:uid="{233733FE-A404-4B4F-90D1-B3D71F0EDAD5}" name="Sarake7" headerRowDxfId="227" dataDxfId="226" headerRowCellStyle="Normaali 2"/>
    <tableColumn id="7" xr3:uid="{426755A7-F26D-422E-8219-8DF6379866EE}" name="Sarake6" headerRowDxfId="225" dataDxfId="224" headerRowCellStyle="Normaali 2"/>
    <tableColumn id="9" xr3:uid="{55B9F9D2-E196-4529-93B5-2C734B9E6B73}" name="Sarake8" headerRowDxfId="223" dataDxfId="222" headerRowCellStyle="Normaali 2"/>
    <tableColumn id="10" xr3:uid="{ED88806D-DC2B-414D-B6E7-AE380D65951D}" name="Sarake2" headerRowDxfId="221" dataDxfId="220"/>
    <tableColumn id="11" xr3:uid="{D616DB46-30F7-409A-AB6E-B4BB31F17AAE}" name="Sarake9" headerRowDxfId="219" dataDxfId="218" headerRowCellStyle="Normaali 2"/>
    <tableColumn id="12" xr3:uid="{FC1B4C59-4C90-472C-95BA-6D5832AC2EAE}" name="Sarake10" headerRowDxfId="217" dataDxfId="216" headerRowCellStyle="Normaali 2"/>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858A28-BC7F-42CF-960F-2226E729CFCA}" name="Sote_laskennallinen_rahoitus_yhteensä" displayName="Sote_laskennallinen_rahoitus_yhteensä" ref="A6:B17" totalsRowShown="0" tableBorderDxfId="147">
  <autoFilter ref="A6:B17" xr:uid="{00000000-0009-0000-0100-000005000000}">
    <filterColumn colId="0" hiddenButton="1"/>
    <filterColumn colId="1" hiddenButton="1"/>
  </autoFilter>
  <tableColumns count="2">
    <tableColumn id="1" xr3:uid="{C775E610-4BBC-4247-AC28-50718C553516}" name="Laskennallinen sote-rahoitus vuonna 2026" dataDxfId="146" dataCellStyle="Normaali 2"/>
    <tableColumn id="2" xr3:uid="{7BCCE03A-59B4-4631-912E-6B63F1112EA6}" name="euroa" dataDxfId="145" dataCellStyle="Normaali 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CA8217-8E9C-4A43-9860-01667DD9A7FA}" name="Sote_painot" displayName="Sote_painot" ref="A19:N23" totalsRowShown="0" headerRowDxfId="144" headerRowCellStyle="Normaali 2">
  <tableColumns count="14">
    <tableColumn id="1" xr3:uid="{EC84855B-E0E9-4D41-B419-C8538FEA6D43}" name="Kriteeri"/>
    <tableColumn id="2" xr3:uid="{EDC2ADEE-B66B-47B0-946C-7A94CA36CD63}" name="Asukasperusteisuus"/>
    <tableColumn id="3" xr3:uid="{4B7EFB30-D78E-4C3E-9A79-8670AAFC1A74}" name="Sote-palvelutarve yhteensä"/>
    <tableColumn id="4" xr3:uid="{17D947E1-0CA3-4CAB-8801-18512162C65F}" name="Terveydenhuollon palvelutarve"/>
    <tableColumn id="5" xr3:uid="{91741629-0264-47FF-BC3F-A25CF32A4899}" name="Vanhustenhuollon palvelutarve"/>
    <tableColumn id="6" xr3:uid="{450691C6-BB51-44F8-9948-5DE098AC98D6}" name="Sosiaalihuollon palvelutarve"/>
    <tableColumn id="7" xr3:uid="{78B16548-F36E-43B6-9C20-EAB26AA48A5A}" name="Vieraskielisyys"/>
    <tableColumn id="8" xr3:uid="{BDEAAA8E-8A69-44A2-8AF8-EB7D83E23DCD}" name="Kaksikielisyys"/>
    <tableColumn id="9" xr3:uid="{2B6556D7-50FB-4138-8835-6A508444A11D}" name="Asukastiheys"/>
    <tableColumn id="10" xr3:uid="{9FE80EB9-D44A-4D83-9BD1-7BA2A48F6D78}" name="Saaristoisuus"/>
    <tableColumn id="11" xr3:uid="{F53FC133-0042-421D-BD28-8FF10779ED6E}" name="Hyte-kriteeri"/>
    <tableColumn id="12" xr3:uid="{B404855C-A927-4555-9322-3BADD3301DD9}" name="Saamenkielisyys"/>
    <tableColumn id="13" xr3:uid="{C814D19E-F5B0-4077-BAE3-56DC402FD143}" name="Yo-lisä"/>
    <tableColumn id="14" xr3:uid="{4580EDDA-237C-4021-9E8D-385DE18623BA}" name="Yhteensä">
      <calculatedColumnFormula>B20+SUM(D20:M20)</calculatedColumnFormula>
    </tableColumn>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85F2191-F591-4CDE-9151-01B418E1322C}" name="Sote_laskennallinen_rahoitus_euroa" displayName="Sote_laskennallinen_rahoitus_euroa" ref="A53:N77" totalsRowShown="0" dataDxfId="143" tableBorderDxfId="142" dataCellStyle="Normaali 2">
  <tableColumns count="14">
    <tableColumn id="1" xr3:uid="{7C95F050-0176-4D59-B9EE-5222C118D851}" name="Hyvinvointialuekoodi" dataDxfId="141" dataCellStyle="Normaali 2"/>
    <tableColumn id="2" xr3:uid="{B119E5EB-68B9-47EE-8CE6-C412498B7A18}" name="Hyvinvointialue" dataDxfId="140" dataCellStyle="Normaali 2"/>
    <tableColumn id="3" xr3:uid="{E2B518D5-DD01-4D69-9E36-5271E59E38F7}" name="Asukasperusteisuus" dataDxfId="139" dataCellStyle="Normaali 2"/>
    <tableColumn id="4" xr3:uid="{F0469B55-E833-41B5-B820-638D390BCBAB}" name="Terveydenhuollon palvelutarve" dataDxfId="138" dataCellStyle="Normaali 2"/>
    <tableColumn id="5" xr3:uid="{7D038E3E-CE66-423E-83BD-DF186B1B8EDF}" name="Vanhustenhuollon palvelutarve" dataDxfId="137" dataCellStyle="Normaali 2"/>
    <tableColumn id="6" xr3:uid="{66D45B4C-5132-4323-BA5C-81D0260EAA60}" name="Sosiaalihuollon palvelutarve" dataDxfId="136" dataCellStyle="Normaali 2"/>
    <tableColumn id="7" xr3:uid="{26DBB451-0882-4B15-AFA3-8BEEA57B6CB6}" name="Vieraskielisyys" dataDxfId="135" dataCellStyle="Normaali 2"/>
    <tableColumn id="8" xr3:uid="{3D87F0DE-839A-4349-9239-31EAE7596E3E}" name="Kaksikielisyys" dataDxfId="134" dataCellStyle="Normaali 2"/>
    <tableColumn id="9" xr3:uid="{79344645-6152-493A-8C05-C5A8E69A05A2}" name="Asukastiheys" dataDxfId="133" dataCellStyle="Normaali 2"/>
    <tableColumn id="10" xr3:uid="{C146059B-B9AB-4F10-82E8-205035C3BBBF}" name="Saaristoisuus" dataDxfId="132" dataCellStyle="Normaali 2"/>
    <tableColumn id="11" xr3:uid="{DFC22DD8-50DC-4286-BF50-F6336A21D45C}" name="Hyte-kriteeri" dataDxfId="131" dataCellStyle="Normaali 2"/>
    <tableColumn id="12" xr3:uid="{588CAE44-CD9B-4B24-B321-07EF5B5C24E0}" name="Saamenkielisyys" dataDxfId="130" dataCellStyle="Normaali 2"/>
    <tableColumn id="13" xr3:uid="{C933B8AB-8A90-46C7-AB5B-D94B78D16E09}" name="Yo-lisä" dataDxfId="129" dataCellStyle="Normaali 2"/>
    <tableColumn id="14" xr3:uid="{2363968D-BDB9-4CAD-AB33-24230D94AA00}" name="Yhteensä, euroa" dataDxfId="128" dataCellStyle="Normaali 2">
      <calculatedColumnFormula>SUM(C54:M54)</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la_osuudet" displayName="Pela_osuudet" ref="A15:E19" totalsRowShown="0" headerRowDxfId="127" dataDxfId="126" headerRowCellStyle="Normaali 2">
  <tableColumns count="5">
    <tableColumn id="1" xr3:uid="{00000000-0010-0000-0900-000001000000}" name="Kriteeri" dataDxfId="125"/>
    <tableColumn id="2" xr3:uid="{00000000-0010-0000-0900-000002000000}" name="Asukasperusteisuus" dataDxfId="124"/>
    <tableColumn id="3" xr3:uid="{00000000-0010-0000-0900-000003000000}" name="Asukastiheys" dataDxfId="123"/>
    <tableColumn id="4" xr3:uid="{00000000-0010-0000-0900-000004000000}" name="Riskitekijät" dataDxfId="122"/>
    <tableColumn id="5" xr3:uid="{00000000-0010-0000-0900-000005000000}" name="Yhteensä" dataDxfId="121"/>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ela_laskennallinen_määräytymistekijät" displayName="Pela_laskennallinen_määräytymistekijät" ref="A22:E45" totalsRowShown="0" headerRowDxfId="120" dataDxfId="118" headerRowBorderDxfId="119" headerRowCellStyle="Normaali 2">
  <tableColumns count="5">
    <tableColumn id="1" xr3:uid="{00000000-0010-0000-0A00-000001000000}" name="Hyvinvointialuekoodi" dataDxfId="117" dataCellStyle="Normaali 2"/>
    <tableColumn id="2" xr3:uid="{00000000-0010-0000-0A00-000002000000}" name="Hyvinvointialue" dataDxfId="116" dataCellStyle="Normaali 2"/>
    <tableColumn id="3" xr3:uid="{00000000-0010-0000-0A00-000003000000}" name="Asukasluku" dataDxfId="115" dataCellStyle="Normaali 2">
      <calculatedColumnFormula>Määräytymistekijät!C8</calculatedColumnFormula>
    </tableColumn>
    <tableColumn id="4" xr3:uid="{00000000-0010-0000-0A00-000004000000}" name="Asukastiheyskerroin" dataDxfId="114" dataCellStyle="Normaali 2">
      <calculatedColumnFormula>Määräytymistekijät!F35</calculatedColumnFormula>
    </tableColumn>
    <tableColumn id="5" xr3:uid="{00000000-0010-0000-0A00-000005000000}" name="Riskikerroin" dataDxfId="113" dataCellStyle="Normaali 2">
      <calculatedColumnFormula>Määräytymistekijät!L35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Pela_laskennallinen_rahoitus_per_asukas" displayName="Pela_laskennallinen_rahoitus_per_asukas" ref="A75:F99" totalsRowShown="0" headerRowDxfId="112" dataDxfId="111" headerRowCellStyle="Normaali 2" dataCellStyle="Normaali 2">
  <tableColumns count="6">
    <tableColumn id="1" xr3:uid="{00000000-0010-0000-0B00-000001000000}" name="Hyvinvointialuekoodi" dataDxfId="110" dataCellStyle="Normaali 2"/>
    <tableColumn id="2" xr3:uid="{00000000-0010-0000-0B00-000002000000}" name="Hyvinvointialue" dataDxfId="109" dataCellStyle="Normaali 2"/>
    <tableColumn id="3" xr3:uid="{00000000-0010-0000-0B00-000003000000}" name="Asukasperusteisuus" dataDxfId="108" dataCellStyle="Normaali 2"/>
    <tableColumn id="4" xr3:uid="{00000000-0010-0000-0B00-000004000000}" name="Asukastiheys" dataDxfId="107" dataCellStyle="Normaali 2"/>
    <tableColumn id="5" xr3:uid="{00000000-0010-0000-0B00-000005000000}" name="Riskitekijät" dataDxfId="106" dataCellStyle="Normaali 2"/>
    <tableColumn id="6" xr3:uid="{00000000-0010-0000-0B00-000006000000}" name="Yhteensä, e/as." dataDxfId="105" dataCellStyle="Normaali 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Pela_laskennallinen_rahoitus_euroa" displayName="Pela_laskennallinen_rahoitus_euroa" ref="A48:F72" totalsRowShown="0" headerRowDxfId="104" dataDxfId="103" tableBorderDxfId="102" headerRowCellStyle="Normaali 2" dataCellStyle="Normaali 2">
  <autoFilter ref="A48:F72"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101" dataCellStyle="Normaali 2"/>
    <tableColumn id="2" xr3:uid="{00000000-0010-0000-0D00-000002000000}" name="Hyvinvointialue" dataDxfId="100" dataCellStyle="Normaali 2"/>
    <tableColumn id="3" xr3:uid="{00000000-0010-0000-0D00-000003000000}" name="Asukasperusteisuus" dataDxfId="99" dataCellStyle="Normaali 2"/>
    <tableColumn id="4" xr3:uid="{00000000-0010-0000-0D00-000004000000}" name="Asukastiheys" dataDxfId="98" dataCellStyle="Normaali 2"/>
    <tableColumn id="5" xr3:uid="{00000000-0010-0000-0D00-000005000000}" name="Riskitekijät" dataDxfId="97" dataCellStyle="Normaali 2"/>
    <tableColumn id="6" xr3:uid="{00000000-0010-0000-0D00-000006000000}" name="Yhteensä, euroa" dataDxfId="96" dataCellStyle="Normaali 2">
      <calculatedColumnFormula>SUM(C49:E49)</calculatedColumnFormula>
    </tableColumn>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D63997C-63C6-4098-8D7E-A6FD45D10CE1}" name="Pela_laskennallinen_rahoitus_yhteensä" displayName="Pela_laskennallinen_rahoitus_yhteensä" ref="A6:B12" totalsRowShown="0">
  <tableColumns count="2">
    <tableColumn id="1" xr3:uid="{353836A5-B0FE-473C-A47D-8065CEAFAC7B}" name="Laskennallinen pela-rahoitus"/>
    <tableColumn id="2" xr3:uid="{0A7CBFB8-A00F-4332-9197-A319FEC2C5A8}" name="euroa"/>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2EE805-725E-4297-942D-102BEF1041AC}" name="Hyte_tiedot" displayName="Hyte_tiedot" ref="A33:P55" totalsRowShown="0" headerRowBorderDxfId="95" tableBorderDxfId="94" totalsRowBorderDxfId="93">
  <autoFilter ref="A33:P55" xr:uid="{222EE805-725E-4297-942D-102BEF104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1D8DCF4-FF89-47D6-B894-448E20C0E6A3}" name="Hyvinvointialuekoodi" dataDxfId="92" dataCellStyle="Normaali 13"/>
    <tableColumn id="2" xr3:uid="{AC6ADF28-7F57-48E0-8927-AAE415AF7B80}" name="Hyvinvointialue" dataDxfId="91" dataCellStyle="Normaali 13"/>
    <tableColumn id="3" xr3:uid="{40A987DC-FDF1-41E2-98D6-450764792BBF}" name="Tuentarve 4" dataDxfId="90" dataCellStyle="Normaali 13"/>
    <tableColumn id="4" xr3:uid="{E1BA4E7E-856C-4E44-B2D8-3974C22E1B14}" name="Tuentarve 8" dataDxfId="89" dataCellStyle="Normaali 13"/>
    <tableColumn id="5" xr3:uid="{454E3ED1-13E0-4A75-AF06-3C4641671C38}" name="Diabetes" dataDxfId="88" dataCellStyle="Normaali 13"/>
    <tableColumn id="6" xr3:uid="{D9559195-019D-44B6-A9F1-FBDEE5C2563D}" name="Mini-interventio" dataDxfId="87" dataCellStyle="Normaali 13"/>
    <tableColumn id="7" xr3:uid="{FC157637-57BB-4974-A3D9-85E27B5AFBD1}" name="Rokotuskattavuus" dataDxfId="86" dataCellStyle="Normaali 13"/>
    <tableColumn id="8" xr3:uid="{79DA5E80-9F81-42F1-89CE-0F1788254F6E}" name="Työttömien terveystarkastukset" dataDxfId="85" dataCellStyle="Normaali 13"/>
    <tableColumn id="9" xr3:uid="{7307BF8E-D979-4DB7-91F2-3294B7E3FF96}" name="Vammat ja myrkytykset" dataDxfId="84" dataCellStyle="Normaali 13"/>
    <tableColumn id="10" xr3:uid="{86F722EC-554B-43BE-8CE9-3923028E09E2}" name="Lonkkamurtumat" dataDxfId="83" dataCellStyle="Normaali 13"/>
    <tableColumn id="11" xr3:uid="{32B401E5-F72A-4BE5-8B0A-8EA7C522C471}" name="NEET" dataDxfId="82" dataCellStyle="Normaali 13"/>
    <tableColumn id="12" xr3:uid="{5805A6CF-81FA-4BC2-A942-B84F8F2639D8}" name="Toimeentulotuki" dataDxfId="81" dataCellStyle="Normaali 13"/>
    <tableColumn id="13" xr3:uid="{08A30BF3-B3EF-4F4C-9660-920390B09708}" name="Työkyvyttömyys" dataDxfId="80" dataCellStyle="Normaali 13"/>
    <tableColumn id="14" xr3:uid="{3294EA20-62D1-471A-9732-8F2C01FEDC44}" name="Prosessi-indikaattorien keskiarvo" dataDxfId="79" dataCellStyle="Normaali 13"/>
    <tableColumn id="15" xr3:uid="{8C5F0FF6-D1DD-42A5-9575-0441DC6EDB6B}" name="Tulosindikaattorien keskiarvo" dataDxfId="78" dataCellStyle="Normaali 13"/>
    <tableColumn id="16" xr3:uid="{7F337959-DBC5-4C0C-8DA5-452A621EF0F8}" name="Indikaattorien keskiarvo" dataDxfId="77" dataCellStyle="Normaali 1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4E3E6C-4006-4C63-810C-F6FC8532874F}" name="Hyte_kerroin" displayName="Hyte_kerroin" ref="A6:G30" totalsRowShown="0" headerRowDxfId="76" dataDxfId="74" headerRowBorderDxfId="75" tableBorderDxfId="73" headerRowCellStyle="Normaali 2" dataCellStyle="Normaali 2">
  <tableColumns count="7">
    <tableColumn id="1" xr3:uid="{24D4352D-D2A6-47E2-815E-24800C49EB0E}" name="Hyvinvointialuekoodi" dataDxfId="72" dataCellStyle="Normaali 13"/>
    <tableColumn id="2" xr3:uid="{4D20F99E-15A4-44F3-94B0-E5E3C3630B7C}" name="Hyvinvointialue" dataDxfId="71" dataCellStyle="Normaali 2"/>
    <tableColumn id="3" xr3:uid="{5884B159-A7D8-4F31-AFF3-23F9C6FDBD04}" name="Asukasluku 2024" dataDxfId="70" dataCellStyle="Normaali 2"/>
    <tableColumn id="4" xr3:uid="{8D391C93-B229-46A5-8C29-29BA909C312E}" name="Prosessi-indikaattorien keskiarvo" dataDxfId="69" dataCellStyle="Normaali 2"/>
    <tableColumn id="5" xr3:uid="{399C4BBB-DDAB-40E4-8E6F-928D8D00E0F0}" name="Tulosindikaattorien keskiarvo" dataDxfId="68" dataCellStyle="Normaali 2"/>
    <tableColumn id="6" xr3:uid="{27F3780E-8B65-4573-994C-B408AB79C6B0}" name="Prosessi- ja tulosindikaattorien keskiarvo" dataDxfId="67" dataCellStyle="Normaali 2"/>
    <tableColumn id="7" xr3:uid="{777EE889-AE43-4CCF-8A24-98D72B21C5A6}" name="Rahoituslaskelmassa käytettävä hyte-kerroin" dataDxfId="66" dataCellStyle="Normaali 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9D3A6B3-A1E1-4A77-952E-B70F79361F45}" name="Maksuerät" displayName="Maksuerät" ref="A33:O56" totalsRowShown="0" headerRowDxfId="215" dataDxfId="214" headerRowCellStyle="Normaali 2">
  <tableColumns count="15">
    <tableColumn id="1" xr3:uid="{3C3217FF-EAD4-4999-9526-E7B87F979538}" name="Hyvinvointialuekoodi" dataDxfId="213" dataCellStyle="Normaali 2"/>
    <tableColumn id="2" xr3:uid="{25B30EBA-A5D1-4450-BC9C-ECD941853964}" name="Hyvinvointialue" dataDxfId="212" dataCellStyle="Normaali 2"/>
    <tableColumn id="3" xr3:uid="{F2A0589F-7EC7-4B01-849A-B13D9FEE657B}" name="Tammikuu" dataDxfId="211"/>
    <tableColumn id="4" xr3:uid="{B2001F51-C01B-4FF8-AECD-882680713EBA}" name="Helmikuu" dataDxfId="210"/>
    <tableColumn id="5" xr3:uid="{80D664D9-1390-495C-9FA4-0F8B84C06C37}" name="Maaliskuu" dataDxfId="209"/>
    <tableColumn id="6" xr3:uid="{891F6D66-ABF6-44C0-BDCC-0D4FD7407E4A}" name="Huhtikuu" dataDxfId="208"/>
    <tableColumn id="7" xr3:uid="{2E1BEDAD-0E0D-4C4E-9909-DBDD4234E1F4}" name="Toukokuu" dataDxfId="207"/>
    <tableColumn id="8" xr3:uid="{D71FA85A-8D82-414A-AC2E-07718922D738}" name="Kesäkuu" dataDxfId="206"/>
    <tableColumn id="9" xr3:uid="{D35DCAB2-8ED5-4524-8C26-B923A48FD0D6}" name="Heinäkuu" dataDxfId="205"/>
    <tableColumn id="10" xr3:uid="{892A16B6-15C3-4067-8400-72D030AF4888}" name="Elokuu" dataDxfId="204"/>
    <tableColumn id="11" xr3:uid="{131471C1-BBFB-458E-A3B0-D42A73C758C4}" name="Syyskuu" dataDxfId="203"/>
    <tableColumn id="12" xr3:uid="{01FC97EE-6617-4199-86BB-96C9FA935A44}" name="Lokakuu" dataDxfId="202"/>
    <tableColumn id="13" xr3:uid="{0C202517-EFAC-4D7E-A24B-7D306E151BA9}" name="Marraskuu" dataDxfId="201"/>
    <tableColumn id="14" xr3:uid="{1D543063-B18E-4BA9-9E85-D32C5EA17A03}" name="Joulukuu" dataDxfId="200"/>
    <tableColumn id="15" xr3:uid="{5BDFE38C-5E26-4404-8280-D22107F05A1B}" name="Vuoden 2026 rahoitus, yhteensä" dataDxfId="199"/>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B9E68-4A40-4156-84E0-A0CACF6DBD88}" name="Tarvekertoimet" displayName="Tarvekertoimet" ref="A7:L30" totalsRowShown="0" headerRowDxfId="65" tableBorderDxfId="64">
  <tableColumns count="12">
    <tableColumn id="1" xr3:uid="{9F94AF6D-ED1E-43CC-8C87-E3767B1970CB}" name="Hyvinvointialuekoodi" dataDxfId="63" dataCellStyle="Normaali 2"/>
    <tableColumn id="2" xr3:uid="{31C01BDB-59E2-4582-A479-8A4CE0514D1C}" name="Hyvinvointialue" dataDxfId="62" dataCellStyle="Normaali 2"/>
    <tableColumn id="3" xr3:uid="{287B9178-E25C-4367-84B0-B28C074684DB}" name="Asukasluku 2024" dataDxfId="61" dataCellStyle="Normaali 2"/>
    <tableColumn id="4" xr3:uid="{6AFD16F4-C147-4B08-BCCF-0F0F88C9A3F1}" name="TH:n tarvekerroin: Keskiarvo 2022–2023" dataDxfId="60"/>
    <tableColumn id="5" xr3:uid="{8914F851-9C14-4B47-94D2-A82970FF60A4}" name="VH:n tarvekerroin: Keskiarvo 2022–2023" dataDxfId="59"/>
    <tableColumn id="6" xr3:uid="{DAEA885F-743A-4C2B-B24F-2D984ADA29FC}" name="SH:n tarvekerroin: Keskiarvo 2022–2023" dataDxfId="58"/>
    <tableColumn id="7" xr3:uid="{D08B2EC3-4246-463A-951D-E765BD0A9843}" name="TH:n tarvekerroin painotettu asukasluvulla" dataDxfId="57" dataCellStyle="Normaali 11"/>
    <tableColumn id="8" xr3:uid="{B59ABF1E-99F2-47F3-8B46-7CB6A5D55F7C}" name="VH:n tarvekerroin painotettu  asukasluvulla" dataDxfId="56" dataCellStyle="Normaali 11"/>
    <tableColumn id="9" xr3:uid="{0D7D22AF-1138-49B2-8830-E25A8EC50801}" name="SH:n tarvekerroin painotettu asukasluvulla" dataDxfId="55" dataCellStyle="Normaali 11"/>
    <tableColumn id="10" xr3:uid="{5EF577AD-B224-4591-AF8F-BAF14C95EA49}" name="Rahoituslaskelmassa käytettävä TH:n palvelutarvekerroin" dataDxfId="54" dataCellStyle="Normaali 11"/>
    <tableColumn id="11" xr3:uid="{259368C9-4E41-4380-88C9-6649D6291EC5}" name="Rahoituslaskelmassa käytettävä VH:n palvelutarvekerroin" dataDxfId="53" dataCellStyle="Normaali 11"/>
    <tableColumn id="12" xr3:uid="{2A38237A-07F4-498F-A0C8-049749EB649E}" name="Rahoituslaskelmassa käytettävä SH:n palvelutarvekerroin" dataDxfId="52" dataCellStyle="Normaali 11"/>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334493-2A10-44FC-9724-0A20C6EC149B}" name="Tarvekertoimet_2022_ja_2023" displayName="Tarvekertoimet_2022_ja_2023" ref="A33:I56" totalsRowShown="0" headerRowDxfId="51" dataDxfId="50" tableBorderDxfId="49">
  <tableColumns count="9">
    <tableColumn id="1" xr3:uid="{724D2A7B-3F36-40A1-88C7-A9FA273705CB}" name="Hyvinvointialuekoodi" dataDxfId="48" dataCellStyle="Normaali 2"/>
    <tableColumn id="2" xr3:uid="{0610D396-4BAA-4FE8-8023-7A771C041F7D}" name="Hyvinvointialue" dataDxfId="47" dataCellStyle="Normaali 2"/>
    <tableColumn id="3" xr3:uid="{408232D8-139B-4AEE-83D6-786D2E65CFBD}" name="Asukasluku 2024" dataDxfId="46" dataCellStyle="Normaali 2"/>
    <tableColumn id="4" xr3:uid="{1B548E52-18E6-4A1D-A0CE-271627889DC2}" name="Vuoden 2025 rahoituksessa käytetty TH:n tarvekerroin 2022" dataDxfId="45"/>
    <tableColumn id="5" xr3:uid="{6E015E65-0295-4592-8285-405758507B4F}" name="Vuoden 2025 rahoituksessa käytetty VH:n tarvekerroin 2022" dataDxfId="44"/>
    <tableColumn id="6" xr3:uid="{3214A69D-BD51-48AF-AFBC-02BA9E375AB2}" name="Vuoden 2025 rahoituksessa käytetty SH:n tarvekerroin 2022" dataDxfId="43"/>
    <tableColumn id="7" xr3:uid="{A29DA278-D524-4CBA-A40A-F0A84081118A}" name="TH:n tarvekerroin 2023" dataDxfId="42"/>
    <tableColumn id="8" xr3:uid="{3AE9D435-209C-4B94-8A92-DC8E32E3D37A}" name="VH:n tarvekerroin 2023" dataDxfId="41"/>
    <tableColumn id="9" xr3:uid="{E1253136-33F1-4C44-98DD-4662936DF2D7}" name="SH:n tarvekerroin 2023" dataDxfId="4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Pela_määräytymistekijät" displayName="Pela_määräytymistekijät" ref="A34:L57" totalsRowShown="0" headerRowDxfId="39" dataDxfId="38" tableBorderDxfId="37" headerRowCellStyle="Normaali 2" dataCellStyle="Normaali 2">
  <autoFilter ref="A34:L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Hyvinvointialuekoodi" dataDxfId="36" dataCellStyle="Normaali 2"/>
    <tableColumn id="2" xr3:uid="{00000000-0010-0000-0E00-000002000000}" name="Hyvinvointialue" dataDxfId="35" dataCellStyle="Normaali 2"/>
    <tableColumn id="3" xr3:uid="{00000000-0010-0000-0E00-000003000000}" name="Asukasluku 2024" dataDxfId="34" dataCellStyle="Normaali 2">
      <calculatedColumnFormula>C8</calculatedColumnFormula>
    </tableColumn>
    <tableColumn id="4" xr3:uid="{00000000-0010-0000-0E00-000004000000}" name="Kokonaispinta-ala, km2" dataDxfId="33" dataCellStyle="Normaali 2"/>
    <tableColumn id="5" xr3:uid="{00000000-0010-0000-0E00-000005000000}" name="Asukastiheys" dataDxfId="32" dataCellStyle="Normaali 2">
      <calculatedColumnFormula>C35/D35</calculatedColumnFormula>
    </tableColumn>
    <tableColumn id="6" xr3:uid="{00000000-0010-0000-0E00-000006000000}" name="Asukastiheyskerroin" dataDxfId="31" dataCellStyle="Normaali 2">
      <calculatedColumnFormula>$E$57/E35</calculatedColumnFormula>
    </tableColumn>
    <tableColumn id="7" xr3:uid="{00000000-0010-0000-0E00-000007000000}" name="RL I (2024)" dataDxfId="30" dataCellStyle="Normaali 2"/>
    <tableColumn id="8" xr3:uid="{00000000-0010-0000-0E00-000008000000}" name="RL II (2024)" dataDxfId="29" dataCellStyle="Normaali 2"/>
    <tableColumn id="9" xr3:uid="{00000000-0010-0000-0E00-000009000000}" name="RL III-IV (2025)" dataDxfId="28" dataCellStyle="Normaali 2"/>
    <tableColumn id="11" xr3:uid="{00000000-0010-0000-0E00-00000B000000}" name="Yhteensä RL I-IV " dataDxfId="27" dataCellStyle="Normaali 2"/>
    <tableColumn id="12" xr3:uid="{00000000-0010-0000-0E00-00000C000000}" name="Painotettu summa" dataDxfId="26" dataCellStyle="Normaali 2">
      <calculatedColumnFormula>J35/C35</calculatedColumnFormula>
    </tableColumn>
    <tableColumn id="13" xr3:uid="{00000000-0010-0000-0E00-00000D000000}" name="Riskikerroin" dataDxfId="25" dataCellStyle="Normaali 2">
      <calculatedColumnFormula>K35/$K$57</calculatedColumnFormula>
    </tableColumn>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Sote_määräytymistekijät" displayName="Sote_määräytymistekijät" ref="A7:J30" totalsRowShown="0" headerRowDxfId="24" dataDxfId="23" tableBorderDxfId="22" headerRowCellStyle="Normaali 2" dataCellStyle="Normaali 2">
  <autoFilter ref="A7:J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F00-000001000000}" name="Hyvinvointialuekoodi" dataDxfId="21" dataCellStyle="Normaali 2"/>
    <tableColumn id="2" xr3:uid="{00000000-0010-0000-0F00-000002000000}" name="Hyvinvointialue" dataDxfId="20" dataCellStyle="Normaali 2"/>
    <tableColumn id="3" xr3:uid="{00000000-0010-0000-0F00-000003000000}" name="Asukasluku 2024" dataDxfId="19" dataCellStyle="Normaali 2"/>
    <tableColumn id="4" xr3:uid="{00000000-0010-0000-0F00-000004000000}" name="Ruotsinkielisten määrä kaksikielisillä hyvinvointialueilla" dataDxfId="18" dataCellStyle="Normaali 2"/>
    <tableColumn id="5" xr3:uid="{00000000-0010-0000-0F00-000005000000}" name="Saamenkielisten määrä hyvinvointialueella, jolla sijaitsee saamelaisten kotiseutualueen kunnat" dataDxfId="17" dataCellStyle="Normaali 2"/>
    <tableColumn id="6" xr3:uid="{00000000-0010-0000-0F00-000006000000}" name="Vieraskielisten määrä" dataDxfId="16" dataCellStyle="Normaali 2"/>
    <tableColumn id="7" xr3:uid="{00000000-0010-0000-0F00-000007000000}" name="Maapinta-ala, km2" dataDxfId="15" dataCellStyle="Normaali 2"/>
    <tableColumn id="8" xr3:uid="{00000000-0010-0000-0F00-000008000000}" name="Asukastiheys" dataDxfId="14" dataCellStyle="Normaali 2">
      <calculatedColumnFormula>C8/G8</calculatedColumnFormula>
    </tableColumn>
    <tableColumn id="9" xr3:uid="{00000000-0010-0000-0F00-000009000000}" name="Asukastiheyskerroin" dataDxfId="13" dataCellStyle="Normaali 2">
      <calculatedColumnFormula>$H$30/H8</calculatedColumnFormula>
    </tableColumn>
    <tableColumn id="10" xr3:uid="{00000000-0010-0000-0F00-00000A000000}" name="Saaristokuntien saaristossa asuvien määrä" dataDxfId="12" dataCellStyle="Normaali 2"/>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Vanhustenhuollon_regressiokertoimet" displayName="Vanhustenhuollon_regressiokertoimet" ref="D4:E67" totalsRowShown="0" headerRowDxfId="11" dataDxfId="10">
  <tableColumns count="2">
    <tableColumn id="1" xr3:uid="{00000000-0010-0000-1000-000001000000}" name="Vanhustenhuollon tarvetekijät" dataDxfId="9"/>
    <tableColumn id="2" xr3:uid="{00000000-0010-0000-1000-000002000000}" name="Regressiokerroin" dataDxfId="8"/>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erveydenhuollon_regressiokertoimet" displayName="Terveydenhuollon_regressiokertoimet" ref="A4:B193" totalsRowShown="0" headerRowDxfId="7" dataDxfId="6">
  <tableColumns count="2">
    <tableColumn id="1" xr3:uid="{00000000-0010-0000-1100-000001000000}" name="Terveydenhuollon tarvetekijät" dataDxfId="5"/>
    <tableColumn id="2" xr3:uid="{00000000-0010-0000-1100-000002000000}" name="Regressiokerroin" dataDxfId="4"/>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9DF303-25B4-4BED-9098-7514451D3225}" name="Sosiaalihuollon_regressiokertoimet" displayName="Sosiaalihuollon_regressiokertoimet" ref="G4:H77" totalsRowShown="0" headerRowDxfId="3" tableBorderDxfId="2">
  <tableColumns count="2">
    <tableColumn id="1" xr3:uid="{C0DA564E-A99C-4787-9E19-E691C89E16D1}" name="Sosiaalihuollon tarvetekijät" dataDxfId="1"/>
    <tableColumn id="2" xr3:uid="{07183B49-263A-4353-B349-61BC2A0F376D}" name="Regressiokerroin" dataDxfId="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uoden_2026_rahoituksen_muodostuminen" displayName="Vuoden_2026_rahoituksen_muodostuminen" ref="A7:B28" totalsRowShown="0" headerRowDxfId="198" dataDxfId="197">
  <tableColumns count="2">
    <tableColumn id="1" xr3:uid="{00000000-0010-0000-0100-000001000000}" name=" " dataDxfId="196"/>
    <tableColumn id="2" xr3:uid="{00000000-0010-0000-0100-000002000000}" name="euroa" dataDxfId="19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ote_tehtävämuutokset" displayName="Sote_tehtävämuutokset" ref="A30:C47" totalsRowShown="0">
  <autoFilter ref="A30:C47" xr:uid="{00000000-0009-0000-0100-000004000000}">
    <filterColumn colId="0" hiddenButton="1"/>
    <filterColumn colId="1" hiddenButton="1"/>
    <filterColumn colId="2" hiddenButton="1"/>
  </autoFilter>
  <tableColumns count="3">
    <tableColumn id="1" xr3:uid="{00000000-0010-0000-0200-000001000000}" name="Valtion vuoden 2026 talousarvioesityksen mukaiset sote-rahoituksen tehtävämuutokset"/>
    <tableColumn id="3" xr3:uid="{FF601BF0-FF01-4AC1-8C63-4960052AEA17}" name="euroa"/>
    <tableColumn id="2" xr3:uid="{00000000-0010-0000-0200-000002000000}" name="kohdennus"/>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Hyvinvointialueindeksin_laskenta" displayName="Hyvinvointialueindeksin_laskenta" ref="D7:F11" totalsRowShown="0" headerRowDxfId="194" dataDxfId="193">
  <autoFilter ref="D7:F11" xr:uid="{00000000-0009-0000-0100-000015000000}">
    <filterColumn colId="0" hiddenButton="1"/>
    <filterColumn colId="1" hiddenButton="1"/>
    <filterColumn colId="2" hiddenButton="1"/>
  </autoFilter>
  <tableColumns count="3">
    <tableColumn id="1" xr3:uid="{00000000-0010-0000-0300-000001000000}" name="Indeksi" dataDxfId="192"/>
    <tableColumn id="2" xr3:uid="{00000000-0010-0000-0300-000002000000}" name="Paino" dataDxfId="191"/>
    <tableColumn id="3" xr3:uid="{00000000-0010-0000-0300-000003000000}" name=" " dataDxfId="19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4C4C531-6E67-4100-A548-EE16662EB16B}" name="Pela_tehtävämuutokset" displayName="Pela_tehtävämuutokset" ref="A49:C51" totalsRowShown="0" tableBorderDxfId="189">
  <autoFilter ref="A49:C51" xr:uid="{34C4C531-6E67-4100-A548-EE16662EB16B}">
    <filterColumn colId="0" hiddenButton="1"/>
    <filterColumn colId="1" hiddenButton="1"/>
    <filterColumn colId="2" hiddenButton="1"/>
  </autoFilter>
  <tableColumns count="3">
    <tableColumn id="1" xr3:uid="{7D43724C-FA7B-46EF-BE86-CDA8AA1F744B}" name="Valtion vuoden 2026 talousarvioesityksen mukaiset pela-rahoituksen tehtävämuutokset"/>
    <tableColumn id="2" xr3:uid="{9BD44646-7F77-4400-A7C3-791B19922385}" name="euroa" dataDxfId="188">
      <calculatedColumnFormula>F19</calculatedColumnFormula>
    </tableColumn>
    <tableColumn id="3" xr3:uid="{544907D1-8DE9-45F0-BB6B-F3BD790C3F15}" name="kohdennus"/>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CCD36B-F993-4263-BD30-DF36DD4E6428}" name="Jälkikäteistarkistuksen_laskenta" displayName="Jälkikäteistarkistuksen_laskenta" ref="A10:E46" headerRowCount="0" totalsRowShown="0" headerRowDxfId="187">
  <tableColumns count="5">
    <tableColumn id="1" xr3:uid="{5B45A407-50EB-4E89-AD9D-7CD6FC6BF10E}" name="Sarake1" headerRowDxfId="186"/>
    <tableColumn id="2" xr3:uid="{490FA70E-E3BB-4737-B966-80374969BB6D}" name="Sarake2" headerRowDxfId="185"/>
    <tableColumn id="3" xr3:uid="{24518723-52CB-4058-8D0E-F3141D393374}" name="Sarake3" headerRowDxfId="184"/>
    <tableColumn id="4" xr3:uid="{6B63866B-70D8-48B9-BF71-6039C8E12A39}" name="Sarake4" headerRowDxfId="183" dataDxfId="182"/>
    <tableColumn id="5" xr3:uid="{9057A344-13BF-4BDA-BD75-C6AC121BBD53}" name="Sarake5" headerRowDxfId="18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0FC7B3D-C719-4BF9-9B38-3007247ED23F}" name="Sote_laskennallinen_määräytymistekijät" displayName="Sote_laskennallinen_määräytymistekijät" ref="A27:M50" totalsRowShown="0" headerRowDxfId="180" dataDxfId="179" tableBorderDxfId="178" headerRowCellStyle="Normaali 2" dataCellStyle="Normaali 2">
  <autoFilter ref="A27:M5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C2403C3-DCEC-4B27-85B6-C99BC8E4225F}" name="Hyvinvointialuekoodi" dataDxfId="177" dataCellStyle="Normaali 2"/>
    <tableColumn id="2" xr3:uid="{BF114DB0-197E-4218-87E9-446B90DD3D80}" name="Hyvinvointialue" dataDxfId="176" dataCellStyle="Normaali 2"/>
    <tableColumn id="3" xr3:uid="{5D60E1FB-117D-4C9C-8387-897474061070}" name="Asukasluku" dataDxfId="175" dataCellStyle="Normaali 2">
      <calculatedColumnFormula>Määräytymistekijät!C8</calculatedColumnFormula>
    </tableColumn>
    <tableColumn id="4" xr3:uid="{67F826DD-9F0C-465B-8A7B-78CE3C8BEC69}" name="Terveydenhuollon palvelutarvekerroin" dataDxfId="174" dataCellStyle="Normaali 2"/>
    <tableColumn id="5" xr3:uid="{B562F6A2-0336-478D-9BF2-9ADB049D15F5}" name="Vanhustenhuollon palvelutarvekerroin" dataDxfId="173" dataCellStyle="Normaali 2"/>
    <tableColumn id="6" xr3:uid="{69167818-2333-4264-A278-170E80B70A12}" name="Sosiaalihuollon palvelutarvekerroin" dataDxfId="172" dataCellStyle="Normaali 2"/>
    <tableColumn id="7" xr3:uid="{F37C51F5-FEB0-4DC3-8817-356F3DF64B5D}" name="Vieraskielisten määrä" dataDxfId="171" dataCellStyle="Normaali 2">
      <calculatedColumnFormula>Määräytymistekijät!F8</calculatedColumnFormula>
    </tableColumn>
    <tableColumn id="8" xr3:uid="{9019F590-1EEF-4096-B72A-16489F45BF59}" name="Ruotsinkielisten määrä kaksikielisillä hyvinvointialueilla" dataDxfId="170" dataCellStyle="Normaali 2">
      <calculatedColumnFormula>Määräytymistekijät!D8</calculatedColumnFormula>
    </tableColumn>
    <tableColumn id="9" xr3:uid="{CB4CA78B-B0FE-411F-90CD-E4F8648E9746}" name="Asukastiheyskerroin" dataDxfId="169" dataCellStyle="Normaali 2">
      <calculatedColumnFormula>Määräytymistekijät!I8</calculatedColumnFormula>
    </tableColumn>
    <tableColumn id="10" xr3:uid="{74574B21-2864-4AE5-A36C-7F6C567597F0}" name="Saaristokuntien saaristossa asuvan väestön määrä" dataDxfId="168" dataCellStyle="Normaali 2">
      <calculatedColumnFormula>Määräytymistekijät!J8</calculatedColumnFormula>
    </tableColumn>
    <tableColumn id="11" xr3:uid="{67C11BBE-3F15-42C5-90FD-8CEB1D61D3ED}" name="Hyte-kerroin" dataDxfId="167" dataCellStyle="Normaali 2"/>
    <tableColumn id="12" xr3:uid="{1D993D62-4D6A-4B94-8954-60604AFAB299}" name="Saamenkielisten määrä hyvinvointialueella, jolla sijaitsee saamelaisten kotiseutualueen kunnat " dataDxfId="166" dataCellStyle="Normaali 2">
      <calculatedColumnFormula>Määräytymistekijät!E8</calculatedColumnFormula>
    </tableColumn>
    <tableColumn id="13" xr3:uid="{E07360F9-36B3-4750-9AB4-44D5F0B8C5A4}" name="Yo-sairaala-alueen asuakasluku" dataDxfId="165" dataCellStyle="Normaali 2">
      <calculatedColumnFormula>C28</calculatedColumnFormula>
    </tableColumn>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E1B276-F30F-45AA-A853-D9316CAC59F4}" name="Sote_laskennallinen_rahoitus_per_asukas" displayName="Sote_laskennallinen_rahoitus_per_asukas" ref="A82:N106" totalsRowShown="0" headerRowDxfId="164" dataDxfId="163" tableBorderDxfId="162" headerRowCellStyle="Normaali 2" dataCellStyle="Normaali 2">
  <autoFilter ref="A82:N10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3CE91A5-EFB7-495D-A707-EFA8655932E3}" name="Hyvinvointialuekoodi" dataDxfId="161" dataCellStyle="Normaali 2"/>
    <tableColumn id="2" xr3:uid="{12E2D1D0-318D-4868-8146-6F71E9206CE9}" name="Hyvinvointialue" dataDxfId="160" dataCellStyle="Normaali 2"/>
    <tableColumn id="3" xr3:uid="{AE871769-1989-4E97-8723-B139A4911E52}" name="Asukasperusteisuus" dataDxfId="159" dataCellStyle="Normaali 2"/>
    <tableColumn id="4" xr3:uid="{528BE6EA-416F-4ECE-971C-55F62894C5FB}" name="Terveydenhuollon palvelutarve" dataDxfId="158" dataCellStyle="Normaali 2"/>
    <tableColumn id="5" xr3:uid="{70D1CDFA-EBE8-4900-8A3C-611829BA6B05}" name="Vanhustenhuollon palvelutarve" dataDxfId="157" dataCellStyle="Normaali 2"/>
    <tableColumn id="6" xr3:uid="{F8ED224B-A5E0-412F-B710-81D32C15F1E3}" name="Sosiaalihuollon palvelutarve" dataDxfId="156" dataCellStyle="Normaali 2"/>
    <tableColumn id="7" xr3:uid="{FB1B9627-E7B4-4BC1-807F-5D0603432667}" name="Vieraskielisyys" dataDxfId="155" dataCellStyle="Normaali 2"/>
    <tableColumn id="8" xr3:uid="{8BBF06ED-051F-4865-8317-61B9DCED3FE2}" name="Kaksikielisyys" dataDxfId="154" dataCellStyle="Normaali 2"/>
    <tableColumn id="9" xr3:uid="{4CFA85AB-098D-4661-A6B6-C6FD41FFB45C}" name="Asukastiheys" dataDxfId="153" dataCellStyle="Normaali 2"/>
    <tableColumn id="10" xr3:uid="{0A1EBF17-4868-4FAD-9307-B38FB304B46D}" name="Saaristoisuus" dataDxfId="152" dataCellStyle="Normaali 2"/>
    <tableColumn id="11" xr3:uid="{AFC5246F-04F6-460C-B2B2-152A7847A5DF}" name="Hyte-kriteeri" dataDxfId="151" dataCellStyle="Normaali 2"/>
    <tableColumn id="12" xr3:uid="{826E679D-1548-4C95-AA01-2C6D1EB7AB7D}" name="Saamenkielisyys" dataDxfId="150" dataCellStyle="Normaali 2"/>
    <tableColumn id="14" xr3:uid="{A1F87D95-5AB7-498D-B2A8-61966F432494}" name="Yo-lisä" dataDxfId="149" dataCellStyle="Normaali 2">
      <calculatedColumnFormula>M54/C28</calculatedColumnFormula>
    </tableColumn>
    <tableColumn id="13" xr3:uid="{EC3783A9-86A2-4A27-B570-05268387F668}" name="Yhteensä, e/as." dataDxfId="148" dataCellStyle="Normaali 2"/>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8.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5" Type="http://schemas.openxmlformats.org/officeDocument/2006/relationships/table" Target="../tables/table17.xml"/><Relationship Id="rId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8C78-36FF-44DC-BCE6-DB6467C84955}">
  <sheetPr>
    <tabColor theme="8"/>
  </sheetPr>
  <dimension ref="A1:G17"/>
  <sheetViews>
    <sheetView tabSelected="1" zoomScale="67" zoomScaleNormal="80" workbookViewId="0"/>
  </sheetViews>
  <sheetFormatPr defaultRowHeight="14.25"/>
  <cols>
    <col min="1" max="1" width="111.625" customWidth="1"/>
    <col min="2" max="2" width="16.25" customWidth="1"/>
  </cols>
  <sheetData>
    <row r="1" spans="1:7" ht="20.25">
      <c r="A1" s="183" t="s">
        <v>456</v>
      </c>
    </row>
    <row r="2" spans="1:7">
      <c r="A2" s="2" t="s">
        <v>474</v>
      </c>
    </row>
    <row r="3" spans="1:7" ht="54" customHeight="1">
      <c r="A3" s="425" t="s">
        <v>473</v>
      </c>
      <c r="C3" s="425"/>
    </row>
    <row r="4" spans="1:7" ht="99.95" customHeight="1">
      <c r="A4" s="425" t="s">
        <v>475</v>
      </c>
      <c r="B4" s="129"/>
      <c r="C4" s="138"/>
    </row>
    <row r="5" spans="1:7" ht="119.1" customHeight="1">
      <c r="A5" s="511" t="s">
        <v>476</v>
      </c>
      <c r="B5" s="507"/>
      <c r="C5" s="425"/>
    </row>
    <row r="6" spans="1:7" ht="68.099999999999994" customHeight="1">
      <c r="A6" s="425" t="s">
        <v>436</v>
      </c>
      <c r="B6" s="449"/>
    </row>
    <row r="7" spans="1:7" ht="49.5" customHeight="1">
      <c r="A7" s="425" t="s">
        <v>477</v>
      </c>
      <c r="B7" s="449"/>
    </row>
    <row r="8" spans="1:7" ht="39.75" customHeight="1">
      <c r="A8" s="425" t="s">
        <v>442</v>
      </c>
      <c r="B8" s="449"/>
    </row>
    <row r="9" spans="1:7">
      <c r="A9" s="425"/>
      <c r="B9" s="425"/>
    </row>
    <row r="10" spans="1:7">
      <c r="A10" s="10" t="s">
        <v>221</v>
      </c>
      <c r="B10" s="560"/>
      <c r="C10" s="560"/>
      <c r="D10" s="560"/>
      <c r="E10" s="560"/>
      <c r="F10" s="560"/>
      <c r="G10" s="560"/>
    </row>
    <row r="11" spans="1:7">
      <c r="A11" s="10" t="s">
        <v>415</v>
      </c>
    </row>
    <row r="12" spans="1:7">
      <c r="A12" t="s">
        <v>365</v>
      </c>
    </row>
    <row r="13" spans="1:7">
      <c r="A13" t="s">
        <v>222</v>
      </c>
    </row>
    <row r="15" spans="1:7">
      <c r="A15" s="134" t="s">
        <v>432</v>
      </c>
    </row>
    <row r="16" spans="1:7">
      <c r="A16" t="s">
        <v>365</v>
      </c>
    </row>
    <row r="17" spans="1:1">
      <c r="A17" s="258" t="s">
        <v>366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3"/>
  <sheetViews>
    <sheetView zoomScale="85" zoomScaleNormal="85" workbookViewId="0"/>
  </sheetViews>
  <sheetFormatPr defaultRowHeight="14.25"/>
  <cols>
    <col min="1" max="1" width="32.625" customWidth="1"/>
    <col min="2" max="2" width="17" customWidth="1"/>
    <col min="4" max="4" width="34.125" customWidth="1"/>
    <col min="5" max="5" width="16.5" bestFit="1" customWidth="1"/>
    <col min="7" max="7" width="34.125" customWidth="1"/>
    <col min="8" max="8" width="16.5" bestFit="1" customWidth="1"/>
  </cols>
  <sheetData>
    <row r="1" spans="1:8" ht="18">
      <c r="A1" s="184" t="s">
        <v>265</v>
      </c>
      <c r="B1" s="3"/>
      <c r="C1" s="3"/>
      <c r="D1" s="3"/>
      <c r="E1" s="121"/>
      <c r="F1" s="133"/>
      <c r="G1" s="3"/>
      <c r="H1" s="3"/>
    </row>
    <row r="2" spans="1:8" ht="57.75" customHeight="1">
      <c r="A2" s="565" t="s">
        <v>404</v>
      </c>
      <c r="B2" s="565"/>
      <c r="C2" s="565"/>
      <c r="D2" s="565"/>
      <c r="E2" s="565"/>
      <c r="F2" s="3"/>
      <c r="G2" s="323"/>
      <c r="H2" s="3"/>
    </row>
    <row r="3" spans="1:8">
      <c r="A3" s="3"/>
      <c r="B3" s="3"/>
      <c r="C3" s="3"/>
      <c r="D3" s="3"/>
      <c r="E3" s="3"/>
      <c r="F3" s="3"/>
      <c r="G3" s="3"/>
      <c r="H3" s="3"/>
    </row>
    <row r="4" spans="1:8" ht="15">
      <c r="A4" s="324" t="s">
        <v>42</v>
      </c>
      <c r="B4" s="338" t="s">
        <v>337</v>
      </c>
      <c r="C4" s="126"/>
      <c r="D4" s="324" t="s">
        <v>43</v>
      </c>
      <c r="E4" s="338" t="s">
        <v>337</v>
      </c>
      <c r="F4" s="126"/>
      <c r="G4" s="325" t="s">
        <v>44</v>
      </c>
      <c r="H4" s="325" t="s">
        <v>337</v>
      </c>
    </row>
    <row r="5" spans="1:8">
      <c r="A5" s="326" t="s">
        <v>268</v>
      </c>
      <c r="B5" s="335">
        <v>1016.84899902344</v>
      </c>
      <c r="C5" s="126"/>
      <c r="D5" s="326" t="s">
        <v>338</v>
      </c>
      <c r="E5" s="335">
        <v>-80.007354736328097</v>
      </c>
      <c r="F5" s="126"/>
      <c r="G5" s="330" t="s">
        <v>182</v>
      </c>
      <c r="H5" s="339">
        <v>4.9750342369079599</v>
      </c>
    </row>
    <row r="6" spans="1:8">
      <c r="A6" s="326" t="s">
        <v>269</v>
      </c>
      <c r="B6" s="335">
        <v>34.119083404541001</v>
      </c>
      <c r="C6" s="126"/>
      <c r="D6" s="326" t="s">
        <v>282</v>
      </c>
      <c r="E6" s="335">
        <v>151.46977233886699</v>
      </c>
      <c r="F6" s="126"/>
      <c r="G6" s="330" t="s">
        <v>339</v>
      </c>
      <c r="H6" s="339">
        <v>21.430059432983398</v>
      </c>
    </row>
    <row r="7" spans="1:8">
      <c r="A7" s="326" t="s">
        <v>270</v>
      </c>
      <c r="B7" s="335">
        <v>225.98141479492199</v>
      </c>
      <c r="C7" s="126"/>
      <c r="D7" s="326" t="s">
        <v>283</v>
      </c>
      <c r="E7" s="335">
        <v>967.29852294921898</v>
      </c>
      <c r="F7" s="126"/>
      <c r="G7" s="330" t="s">
        <v>340</v>
      </c>
      <c r="H7" s="339">
        <v>36.784744262695298</v>
      </c>
    </row>
    <row r="8" spans="1:8">
      <c r="A8" s="326" t="s">
        <v>271</v>
      </c>
      <c r="B8" s="335">
        <v>641.730712890625</v>
      </c>
      <c r="C8" s="126"/>
      <c r="D8" s="326" t="s">
        <v>284</v>
      </c>
      <c r="E8" s="335">
        <v>3571.21923828125</v>
      </c>
      <c r="F8" s="126"/>
      <c r="G8" s="330" t="s">
        <v>341</v>
      </c>
      <c r="H8" s="339">
        <v>59.659576416015597</v>
      </c>
    </row>
    <row r="9" spans="1:8">
      <c r="A9" s="326" t="s">
        <v>272</v>
      </c>
      <c r="B9" s="335">
        <v>259.48422241210898</v>
      </c>
      <c r="C9" s="126"/>
      <c r="D9" s="326" t="s">
        <v>285</v>
      </c>
      <c r="E9" s="335">
        <v>8317.5263671875</v>
      </c>
      <c r="F9" s="126"/>
      <c r="G9" s="330" t="s">
        <v>342</v>
      </c>
      <c r="H9" s="339">
        <v>1187.10119628906</v>
      </c>
    </row>
    <row r="10" spans="1:8">
      <c r="A10" s="326" t="s">
        <v>273</v>
      </c>
      <c r="B10" s="335">
        <v>191.73731994628901</v>
      </c>
      <c r="C10" s="126"/>
      <c r="D10" s="326" t="s">
        <v>286</v>
      </c>
      <c r="E10" s="335">
        <v>13401.076171875</v>
      </c>
      <c r="F10" s="126"/>
      <c r="G10" s="330" t="s">
        <v>343</v>
      </c>
      <c r="H10" s="339">
        <v>-135.62501525878901</v>
      </c>
    </row>
    <row r="11" spans="1:8">
      <c r="A11" s="326" t="s">
        <v>274</v>
      </c>
      <c r="B11" s="335">
        <v>144.33003234863301</v>
      </c>
      <c r="C11" s="126"/>
      <c r="D11" s="326" t="s">
        <v>287</v>
      </c>
      <c r="E11" s="335">
        <v>16713.369140625</v>
      </c>
      <c r="F11" s="126"/>
      <c r="G11" s="330" t="s">
        <v>344</v>
      </c>
      <c r="H11" s="339">
        <v>-130.13449096679699</v>
      </c>
    </row>
    <row r="12" spans="1:8">
      <c r="A12" s="326" t="s">
        <v>275</v>
      </c>
      <c r="B12" s="335">
        <v>98.265670776367202</v>
      </c>
      <c r="C12" s="126"/>
      <c r="D12" s="326" t="s">
        <v>301</v>
      </c>
      <c r="E12" s="335">
        <v>193.27195739746099</v>
      </c>
      <c r="F12" s="126"/>
      <c r="G12" s="330" t="s">
        <v>345</v>
      </c>
      <c r="H12" s="339">
        <v>-31.7082328796387</v>
      </c>
    </row>
    <row r="13" spans="1:8">
      <c r="A13" s="326" t="s">
        <v>276</v>
      </c>
      <c r="B13" s="335">
        <v>28.0986328125</v>
      </c>
      <c r="C13" s="126"/>
      <c r="D13" s="326" t="s">
        <v>302</v>
      </c>
      <c r="E13" s="335">
        <v>388.35693359375</v>
      </c>
      <c r="F13" s="126"/>
      <c r="G13" s="330" t="s">
        <v>346</v>
      </c>
      <c r="H13" s="339">
        <v>16.238569259643601</v>
      </c>
    </row>
    <row r="14" spans="1:8">
      <c r="A14" s="326" t="s">
        <v>277</v>
      </c>
      <c r="B14" s="335">
        <v>117.95736694335901</v>
      </c>
      <c r="C14" s="126"/>
      <c r="D14" s="326" t="s">
        <v>303</v>
      </c>
      <c r="E14" s="335">
        <v>1687.87475585938</v>
      </c>
      <c r="F14" s="126"/>
      <c r="G14" s="330" t="s">
        <v>347</v>
      </c>
      <c r="H14" s="339">
        <v>45.275238037109403</v>
      </c>
    </row>
    <row r="15" spans="1:8">
      <c r="A15" s="326" t="s">
        <v>278</v>
      </c>
      <c r="B15" s="335">
        <v>220.17451477050801</v>
      </c>
      <c r="C15" s="126"/>
      <c r="D15" s="326" t="s">
        <v>304</v>
      </c>
      <c r="E15" s="335">
        <v>4896.3076171875</v>
      </c>
      <c r="F15" s="126"/>
      <c r="G15" s="330" t="s">
        <v>348</v>
      </c>
      <c r="H15" s="339">
        <v>87.622970581054702</v>
      </c>
    </row>
    <row r="16" spans="1:8">
      <c r="A16" s="326" t="s">
        <v>279</v>
      </c>
      <c r="B16" s="335">
        <v>153.41426086425801</v>
      </c>
      <c r="C16" s="126"/>
      <c r="D16" s="326" t="s">
        <v>305</v>
      </c>
      <c r="E16" s="335">
        <v>8934.5234375</v>
      </c>
      <c r="F16" s="126"/>
      <c r="G16" s="330" t="s">
        <v>349</v>
      </c>
      <c r="H16" s="339">
        <v>125.164070129395</v>
      </c>
    </row>
    <row r="17" spans="1:8">
      <c r="A17" s="326" t="s">
        <v>280</v>
      </c>
      <c r="B17" s="335">
        <v>180.31838989257801</v>
      </c>
      <c r="C17" s="126"/>
      <c r="D17" s="326" t="s">
        <v>306</v>
      </c>
      <c r="E17" s="335">
        <v>10587.4951171875</v>
      </c>
      <c r="F17" s="126"/>
      <c r="G17" s="330" t="s">
        <v>350</v>
      </c>
      <c r="H17" s="339">
        <v>102.54550170898401</v>
      </c>
    </row>
    <row r="18" spans="1:8">
      <c r="A18" s="326" t="s">
        <v>281</v>
      </c>
      <c r="B18" s="335">
        <v>354.23919677734398</v>
      </c>
      <c r="C18" s="126"/>
      <c r="D18" s="326" t="s">
        <v>45</v>
      </c>
      <c r="E18" s="335">
        <v>3324.96215820312</v>
      </c>
      <c r="F18" s="126"/>
      <c r="G18" s="330" t="s">
        <v>351</v>
      </c>
      <c r="H18" s="339">
        <v>32.494205474853501</v>
      </c>
    </row>
    <row r="19" spans="1:8">
      <c r="A19" s="326" t="s">
        <v>282</v>
      </c>
      <c r="B19" s="335">
        <v>662.98297119140602</v>
      </c>
      <c r="C19" s="126"/>
      <c r="D19" s="326" t="s">
        <v>46</v>
      </c>
      <c r="E19" s="335">
        <v>1418.79565429688</v>
      </c>
      <c r="F19" s="126"/>
      <c r="G19" s="330" t="s">
        <v>352</v>
      </c>
      <c r="H19" s="339">
        <v>45.831905364990199</v>
      </c>
    </row>
    <row r="20" spans="1:8">
      <c r="A20" s="326" t="s">
        <v>283</v>
      </c>
      <c r="B20" s="335">
        <v>700.96447753906295</v>
      </c>
      <c r="C20" s="126"/>
      <c r="D20" s="326" t="s">
        <v>47</v>
      </c>
      <c r="E20" s="335">
        <v>565.790283203125</v>
      </c>
      <c r="F20" s="126"/>
      <c r="G20" s="330" t="s">
        <v>353</v>
      </c>
      <c r="H20" s="339">
        <v>-76.448486328125</v>
      </c>
    </row>
    <row r="21" spans="1:8" s="25" customFormat="1">
      <c r="A21" s="326" t="s">
        <v>284</v>
      </c>
      <c r="B21" s="335">
        <v>939.03558349609398</v>
      </c>
      <c r="C21" s="328"/>
      <c r="D21" s="326" t="s">
        <v>48</v>
      </c>
      <c r="E21" s="335">
        <v>982.90100097656295</v>
      </c>
      <c r="F21" s="328"/>
      <c r="G21" s="330" t="s">
        <v>354</v>
      </c>
      <c r="H21" s="339">
        <v>-187.46057128906301</v>
      </c>
    </row>
    <row r="22" spans="1:8">
      <c r="A22" s="326" t="s">
        <v>285</v>
      </c>
      <c r="B22" s="335">
        <v>446.18515014648398</v>
      </c>
      <c r="C22" s="126"/>
      <c r="D22" s="326" t="s">
        <v>49</v>
      </c>
      <c r="E22" s="335">
        <v>2158.96752929687</v>
      </c>
      <c r="F22" s="126"/>
      <c r="G22" s="330" t="s">
        <v>355</v>
      </c>
      <c r="H22" s="339">
        <v>-427.12625122070301</v>
      </c>
    </row>
    <row r="23" spans="1:8">
      <c r="A23" s="326" t="s">
        <v>286</v>
      </c>
      <c r="B23" s="335">
        <v>-407.945556640625</v>
      </c>
      <c r="C23" s="126"/>
      <c r="D23" s="326" t="s">
        <v>50</v>
      </c>
      <c r="E23" s="335">
        <v>4147.17236328125</v>
      </c>
      <c r="F23" s="126"/>
      <c r="G23" s="330" t="s">
        <v>356</v>
      </c>
      <c r="H23" s="339">
        <v>-756.01989746093795</v>
      </c>
    </row>
    <row r="24" spans="1:8">
      <c r="A24" s="326" t="s">
        <v>287</v>
      </c>
      <c r="B24" s="335">
        <v>-888.6787109375</v>
      </c>
      <c r="C24" s="126"/>
      <c r="D24" s="326" t="s">
        <v>51</v>
      </c>
      <c r="E24" s="335">
        <v>7452.9755859375</v>
      </c>
      <c r="F24" s="126"/>
      <c r="G24" s="330" t="s">
        <v>357</v>
      </c>
      <c r="H24" s="339">
        <v>-1063.6865234375</v>
      </c>
    </row>
    <row r="25" spans="1:8">
      <c r="A25" s="326" t="s">
        <v>288</v>
      </c>
      <c r="B25" s="335">
        <v>1315.39575195313</v>
      </c>
      <c r="C25" s="126"/>
      <c r="D25" s="326" t="s">
        <v>52</v>
      </c>
      <c r="E25" s="335">
        <v>3553.00073242187</v>
      </c>
      <c r="F25" s="126"/>
      <c r="G25" s="330" t="s">
        <v>53</v>
      </c>
      <c r="H25" s="339">
        <v>1096.03686523438</v>
      </c>
    </row>
    <row r="26" spans="1:8">
      <c r="A26" s="326" t="s">
        <v>289</v>
      </c>
      <c r="B26" s="335">
        <v>211.22898864746099</v>
      </c>
      <c r="C26" s="126"/>
      <c r="D26" s="326" t="s">
        <v>54</v>
      </c>
      <c r="E26" s="335">
        <v>637.80670166015602</v>
      </c>
      <c r="F26" s="126"/>
      <c r="G26" s="330" t="s">
        <v>46</v>
      </c>
      <c r="H26" s="339">
        <v>651.76885986328102</v>
      </c>
    </row>
    <row r="27" spans="1:8">
      <c r="A27" s="326" t="s">
        <v>290</v>
      </c>
      <c r="B27" s="335">
        <v>251.36721801757801</v>
      </c>
      <c r="C27" s="126"/>
      <c r="D27" s="326" t="s">
        <v>55</v>
      </c>
      <c r="E27" s="335">
        <v>3695.62744140625</v>
      </c>
      <c r="F27" s="126"/>
      <c r="G27" s="330" t="s">
        <v>50</v>
      </c>
      <c r="H27" s="339">
        <v>2415.51611328125</v>
      </c>
    </row>
    <row r="28" spans="1:8">
      <c r="A28" s="326" t="s">
        <v>291</v>
      </c>
      <c r="B28" s="335">
        <v>92.708259582519503</v>
      </c>
      <c r="C28" s="126"/>
      <c r="D28" s="326" t="s">
        <v>183</v>
      </c>
      <c r="E28" s="335">
        <v>19316.92578125</v>
      </c>
      <c r="F28" s="126"/>
      <c r="G28" s="330" t="s">
        <v>56</v>
      </c>
      <c r="H28" s="339">
        <v>3879.025390625</v>
      </c>
    </row>
    <row r="29" spans="1:8">
      <c r="A29" s="326" t="s">
        <v>292</v>
      </c>
      <c r="B29" s="335">
        <v>80.115539550781193</v>
      </c>
      <c r="C29" s="126"/>
      <c r="D29" s="326" t="s">
        <v>57</v>
      </c>
      <c r="E29" s="335">
        <v>11592.3056640625</v>
      </c>
      <c r="F29" s="126"/>
      <c r="G29" s="330" t="s">
        <v>51</v>
      </c>
      <c r="H29" s="339">
        <v>1678.10595703125</v>
      </c>
    </row>
    <row r="30" spans="1:8">
      <c r="A30" s="326" t="s">
        <v>293</v>
      </c>
      <c r="B30" s="335">
        <v>97.0323486328125</v>
      </c>
      <c r="C30" s="126"/>
      <c r="D30" s="326" t="s">
        <v>58</v>
      </c>
      <c r="E30" s="335">
        <v>5066.9609375</v>
      </c>
      <c r="F30" s="126"/>
      <c r="G30" s="330" t="s">
        <v>52</v>
      </c>
      <c r="H30" s="339">
        <v>53.671707153320298</v>
      </c>
    </row>
    <row r="31" spans="1:8">
      <c r="A31" s="326" t="s">
        <v>294</v>
      </c>
      <c r="B31" s="335">
        <v>-5.4153757095336896</v>
      </c>
      <c r="C31" s="126"/>
      <c r="D31" s="326" t="s">
        <v>59</v>
      </c>
      <c r="E31" s="335">
        <v>3116.15478515625</v>
      </c>
      <c r="F31" s="126"/>
      <c r="G31" s="330" t="s">
        <v>60</v>
      </c>
      <c r="H31" s="339">
        <v>27300.744140625</v>
      </c>
    </row>
    <row r="32" spans="1:8">
      <c r="A32" s="326" t="s">
        <v>295</v>
      </c>
      <c r="B32" s="335">
        <v>34.606395721435497</v>
      </c>
      <c r="C32" s="126"/>
      <c r="D32" s="326" t="s">
        <v>61</v>
      </c>
      <c r="E32" s="335">
        <v>4191.09423828125</v>
      </c>
      <c r="F32" s="126"/>
      <c r="G32" s="330" t="s">
        <v>62</v>
      </c>
      <c r="H32" s="339">
        <v>4941.4345703125</v>
      </c>
    </row>
    <row r="33" spans="1:8">
      <c r="A33" s="326" t="s">
        <v>296</v>
      </c>
      <c r="B33" s="335">
        <v>25.235486984252901</v>
      </c>
      <c r="C33" s="126"/>
      <c r="D33" s="326" t="s">
        <v>63</v>
      </c>
      <c r="E33" s="335">
        <v>9259.166015625</v>
      </c>
      <c r="F33" s="126"/>
      <c r="G33" s="330" t="s">
        <v>64</v>
      </c>
      <c r="H33" s="339">
        <v>7196.6279296875</v>
      </c>
    </row>
    <row r="34" spans="1:8">
      <c r="A34" s="326" t="s">
        <v>297</v>
      </c>
      <c r="B34" s="335">
        <v>137.17666625976599</v>
      </c>
      <c r="C34" s="126"/>
      <c r="D34" s="326" t="s">
        <v>65</v>
      </c>
      <c r="E34" s="335">
        <v>1050.13513183594</v>
      </c>
      <c r="F34" s="126"/>
      <c r="G34" s="330" t="s">
        <v>183</v>
      </c>
      <c r="H34" s="339">
        <v>236.75988769531199</v>
      </c>
    </row>
    <row r="35" spans="1:8">
      <c r="A35" s="326" t="s">
        <v>298</v>
      </c>
      <c r="B35" s="335">
        <v>172.27281188964801</v>
      </c>
      <c r="C35" s="126"/>
      <c r="D35" s="326" t="s">
        <v>66</v>
      </c>
      <c r="E35" s="335">
        <v>7833.3701171875</v>
      </c>
      <c r="F35" s="126"/>
      <c r="G35" s="330" t="s">
        <v>57</v>
      </c>
      <c r="H35" s="339">
        <v>12986.1591796875</v>
      </c>
    </row>
    <row r="36" spans="1:8">
      <c r="A36" s="326" t="s">
        <v>299</v>
      </c>
      <c r="B36" s="335">
        <v>243.25776672363301</v>
      </c>
      <c r="C36" s="126"/>
      <c r="D36" s="326" t="s">
        <v>67</v>
      </c>
      <c r="E36" s="335">
        <v>5469.318359375</v>
      </c>
      <c r="F36" s="126"/>
      <c r="G36" s="330" t="s">
        <v>58</v>
      </c>
      <c r="H36" s="339">
        <v>942.42492675781205</v>
      </c>
    </row>
    <row r="37" spans="1:8">
      <c r="A37" s="326" t="s">
        <v>300</v>
      </c>
      <c r="B37" s="335">
        <v>473.59558105468699</v>
      </c>
      <c r="C37" s="126"/>
      <c r="D37" s="326" t="s">
        <v>68</v>
      </c>
      <c r="E37" s="335">
        <v>160.53730773925801</v>
      </c>
      <c r="F37" s="126"/>
      <c r="G37" s="330" t="s">
        <v>59</v>
      </c>
      <c r="H37" s="339">
        <v>1981.60327148438</v>
      </c>
    </row>
    <row r="38" spans="1:8">
      <c r="A38" s="326" t="s">
        <v>301</v>
      </c>
      <c r="B38" s="335">
        <v>834.87640380859398</v>
      </c>
      <c r="C38" s="126"/>
      <c r="D38" s="326" t="s">
        <v>69</v>
      </c>
      <c r="E38" s="335">
        <v>2655.05590820312</v>
      </c>
      <c r="F38" s="126"/>
      <c r="G38" s="330" t="s">
        <v>61</v>
      </c>
      <c r="H38" s="339">
        <v>11700.6923828125</v>
      </c>
    </row>
    <row r="39" spans="1:8">
      <c r="A39" s="326" t="s">
        <v>302</v>
      </c>
      <c r="B39" s="335">
        <v>1087.41320800781</v>
      </c>
      <c r="C39" s="126"/>
      <c r="D39" s="326" t="s">
        <v>70</v>
      </c>
      <c r="E39" s="335">
        <v>7026.5126953125</v>
      </c>
      <c r="F39" s="126"/>
      <c r="G39" s="330" t="s">
        <v>63</v>
      </c>
      <c r="H39" s="339">
        <v>3458.87841796875</v>
      </c>
    </row>
    <row r="40" spans="1:8">
      <c r="A40" s="326" t="s">
        <v>303</v>
      </c>
      <c r="B40" s="335">
        <v>1440.91552734375</v>
      </c>
      <c r="C40" s="126"/>
      <c r="D40" s="326" t="s">
        <v>71</v>
      </c>
      <c r="E40" s="335">
        <v>925.64709472656205</v>
      </c>
      <c r="F40" s="126"/>
      <c r="G40" s="330" t="s">
        <v>65</v>
      </c>
      <c r="H40" s="339">
        <v>706.59924316406295</v>
      </c>
    </row>
    <row r="41" spans="1:8">
      <c r="A41" s="326" t="s">
        <v>304</v>
      </c>
      <c r="B41" s="335">
        <v>1493.47644042969</v>
      </c>
      <c r="C41" s="126"/>
      <c r="D41" s="326" t="s">
        <v>72</v>
      </c>
      <c r="E41" s="335">
        <v>1510.78002929688</v>
      </c>
      <c r="F41" s="126"/>
      <c r="G41" s="330" t="s">
        <v>66</v>
      </c>
      <c r="H41" s="339">
        <v>1928.34350585938</v>
      </c>
    </row>
    <row r="42" spans="1:8">
      <c r="A42" s="326" t="s">
        <v>305</v>
      </c>
      <c r="B42" s="335">
        <v>1092.64233398438</v>
      </c>
      <c r="C42" s="126"/>
      <c r="D42" s="326" t="s">
        <v>184</v>
      </c>
      <c r="E42" s="335">
        <v>2198.39428710937</v>
      </c>
      <c r="F42" s="126"/>
      <c r="G42" s="330" t="s">
        <v>67</v>
      </c>
      <c r="H42" s="339">
        <v>2502.76025390625</v>
      </c>
    </row>
    <row r="43" spans="1:8">
      <c r="A43" s="326" t="s">
        <v>306</v>
      </c>
      <c r="B43" s="335">
        <v>1078.72473144531</v>
      </c>
      <c r="C43" s="126"/>
      <c r="D43" s="326" t="s">
        <v>185</v>
      </c>
      <c r="E43" s="335">
        <v>1715.74951171875</v>
      </c>
      <c r="F43" s="126"/>
      <c r="G43" s="330" t="s">
        <v>70</v>
      </c>
      <c r="H43" s="339">
        <v>687.083740234375</v>
      </c>
    </row>
    <row r="44" spans="1:8">
      <c r="A44" s="326" t="s">
        <v>45</v>
      </c>
      <c r="B44" s="335">
        <v>1460.69812011719</v>
      </c>
      <c r="C44" s="126"/>
      <c r="D44" s="326" t="s">
        <v>186</v>
      </c>
      <c r="E44" s="335">
        <v>582.742919921875</v>
      </c>
      <c r="F44" s="126"/>
      <c r="G44" s="330" t="s">
        <v>184</v>
      </c>
      <c r="H44" s="339">
        <v>619.17962646484398</v>
      </c>
    </row>
    <row r="45" spans="1:8">
      <c r="A45" s="326" t="s">
        <v>53</v>
      </c>
      <c r="B45" s="335">
        <v>3246.28735351562</v>
      </c>
      <c r="C45" s="126"/>
      <c r="D45" s="326" t="s">
        <v>73</v>
      </c>
      <c r="E45" s="335">
        <v>575.12548828125</v>
      </c>
      <c r="F45" s="126"/>
      <c r="G45" s="330" t="s">
        <v>74</v>
      </c>
      <c r="H45" s="339">
        <v>180.84840393066401</v>
      </c>
    </row>
    <row r="46" spans="1:8">
      <c r="A46" s="326" t="s">
        <v>75</v>
      </c>
      <c r="B46" s="335">
        <v>942.47399902343795</v>
      </c>
      <c r="C46" s="126"/>
      <c r="D46" s="326" t="s">
        <v>76</v>
      </c>
      <c r="E46" s="335">
        <v>4787.8994140625</v>
      </c>
      <c r="F46" s="126"/>
      <c r="G46" s="330" t="s">
        <v>185</v>
      </c>
      <c r="H46" s="339">
        <v>3983.29321289062</v>
      </c>
    </row>
    <row r="47" spans="1:8">
      <c r="A47" s="326" t="s">
        <v>77</v>
      </c>
      <c r="B47" s="335">
        <v>2634.17529296875</v>
      </c>
      <c r="C47" s="126"/>
      <c r="D47" s="326" t="s">
        <v>187</v>
      </c>
      <c r="E47" s="335">
        <v>665.01306152343795</v>
      </c>
      <c r="F47" s="126"/>
      <c r="G47" s="330" t="s">
        <v>186</v>
      </c>
      <c r="H47" s="339">
        <v>651.975341796875</v>
      </c>
    </row>
    <row r="48" spans="1:8">
      <c r="A48" s="326" t="s">
        <v>46</v>
      </c>
      <c r="B48" s="335">
        <v>1839.85876464844</v>
      </c>
      <c r="C48" s="126"/>
      <c r="D48" s="326" t="s">
        <v>78</v>
      </c>
      <c r="E48" s="335">
        <v>607.69006347656295</v>
      </c>
      <c r="F48" s="126"/>
      <c r="G48" s="330" t="s">
        <v>323</v>
      </c>
      <c r="H48" s="339">
        <v>613.81115722656295</v>
      </c>
    </row>
    <row r="49" spans="1:8">
      <c r="A49" s="326" t="s">
        <v>79</v>
      </c>
      <c r="B49" s="335">
        <v>381.45748901367199</v>
      </c>
      <c r="C49" s="126"/>
      <c r="D49" s="326" t="s">
        <v>80</v>
      </c>
      <c r="E49" s="335">
        <v>3598.9326171875</v>
      </c>
      <c r="F49" s="126"/>
      <c r="G49" s="330" t="s">
        <v>76</v>
      </c>
      <c r="H49" s="339">
        <v>1129.13317871094</v>
      </c>
    </row>
    <row r="50" spans="1:8">
      <c r="A50" s="326" t="s">
        <v>307</v>
      </c>
      <c r="B50" s="335">
        <v>2772.90014648438</v>
      </c>
      <c r="C50" s="126"/>
      <c r="D50" s="326" t="s">
        <v>81</v>
      </c>
      <c r="E50" s="335">
        <v>4954.5751953125</v>
      </c>
      <c r="F50" s="126"/>
      <c r="G50" s="330" t="s">
        <v>187</v>
      </c>
      <c r="H50" s="339">
        <v>128.23941040039099</v>
      </c>
    </row>
    <row r="51" spans="1:8">
      <c r="A51" s="326" t="s">
        <v>308</v>
      </c>
      <c r="B51" s="335">
        <v>4571.1689453125</v>
      </c>
      <c r="C51" s="126"/>
      <c r="D51" s="326" t="s">
        <v>82</v>
      </c>
      <c r="E51" s="335">
        <v>668.370361328125</v>
      </c>
      <c r="F51" s="126"/>
      <c r="G51" s="330" t="s">
        <v>83</v>
      </c>
      <c r="H51" s="339">
        <v>156.78466796875</v>
      </c>
    </row>
    <row r="52" spans="1:8">
      <c r="A52" s="326" t="s">
        <v>309</v>
      </c>
      <c r="B52" s="335">
        <v>4136.439453125</v>
      </c>
      <c r="C52" s="126"/>
      <c r="D52" s="326" t="s">
        <v>84</v>
      </c>
      <c r="E52" s="335">
        <v>1750.40014648438</v>
      </c>
      <c r="F52" s="126"/>
      <c r="G52" s="330" t="s">
        <v>81</v>
      </c>
      <c r="H52" s="339">
        <v>654.83819580078102</v>
      </c>
    </row>
    <row r="53" spans="1:8">
      <c r="A53" s="326" t="s">
        <v>310</v>
      </c>
      <c r="B53" s="335">
        <v>5576.03515625</v>
      </c>
      <c r="C53" s="126"/>
      <c r="D53" s="326" t="s">
        <v>85</v>
      </c>
      <c r="E53" s="335">
        <v>5677.517578125</v>
      </c>
      <c r="F53" s="126"/>
      <c r="G53" s="330" t="s">
        <v>188</v>
      </c>
      <c r="H53" s="339">
        <v>186.07319641113301</v>
      </c>
    </row>
    <row r="54" spans="1:8">
      <c r="A54" s="326" t="s">
        <v>311</v>
      </c>
      <c r="B54" s="335">
        <v>680.55352783203102</v>
      </c>
      <c r="C54" s="126"/>
      <c r="D54" s="326" t="s">
        <v>86</v>
      </c>
      <c r="E54" s="335">
        <v>2698.08374023438</v>
      </c>
      <c r="F54" s="126"/>
      <c r="G54" s="330" t="s">
        <v>84</v>
      </c>
      <c r="H54" s="339">
        <v>413.75146484375</v>
      </c>
    </row>
    <row r="55" spans="1:8">
      <c r="A55" s="326" t="s">
        <v>312</v>
      </c>
      <c r="B55" s="335">
        <v>4419.23095703125</v>
      </c>
      <c r="C55" s="126"/>
      <c r="D55" s="326" t="s">
        <v>87</v>
      </c>
      <c r="E55" s="335">
        <v>5188.5</v>
      </c>
      <c r="F55" s="126"/>
      <c r="G55" s="330" t="s">
        <v>86</v>
      </c>
      <c r="H55" s="339">
        <v>1799.63073730469</v>
      </c>
    </row>
    <row r="56" spans="1:8">
      <c r="A56" s="326" t="s">
        <v>313</v>
      </c>
      <c r="B56" s="335">
        <v>1817.85705566406</v>
      </c>
      <c r="C56" s="126"/>
      <c r="D56" s="326" t="s">
        <v>88</v>
      </c>
      <c r="E56" s="335">
        <v>4918.1630859375</v>
      </c>
      <c r="F56" s="126"/>
      <c r="G56" s="330" t="s">
        <v>87</v>
      </c>
      <c r="H56" s="339">
        <v>3580.6630859375</v>
      </c>
    </row>
    <row r="57" spans="1:8">
      <c r="A57" s="326" t="s">
        <v>314</v>
      </c>
      <c r="B57" s="335">
        <v>3210.962890625</v>
      </c>
      <c r="C57" s="126"/>
      <c r="D57" s="326" t="s">
        <v>89</v>
      </c>
      <c r="E57" s="335">
        <v>8150.74462890625</v>
      </c>
      <c r="F57" s="126"/>
      <c r="G57" s="330" t="s">
        <v>88</v>
      </c>
      <c r="H57" s="339">
        <v>4442.69189453125</v>
      </c>
    </row>
    <row r="58" spans="1:8">
      <c r="A58" s="326" t="s">
        <v>315</v>
      </c>
      <c r="B58" s="335">
        <v>1464.39965820313</v>
      </c>
      <c r="C58" s="126"/>
      <c r="D58" s="326" t="s">
        <v>90</v>
      </c>
      <c r="E58" s="335">
        <v>11163.73828125</v>
      </c>
      <c r="F58" s="126"/>
      <c r="G58" s="330" t="s">
        <v>89</v>
      </c>
      <c r="H58" s="339">
        <v>5890.18701171875</v>
      </c>
    </row>
    <row r="59" spans="1:8">
      <c r="A59" s="326" t="s">
        <v>316</v>
      </c>
      <c r="B59" s="335">
        <v>2097.31567382812</v>
      </c>
      <c r="C59" s="126"/>
      <c r="D59" s="326" t="s">
        <v>324</v>
      </c>
      <c r="E59" s="335">
        <v>1024.55993652344</v>
      </c>
      <c r="F59" s="126"/>
      <c r="G59" s="330" t="s">
        <v>90</v>
      </c>
      <c r="H59" s="339">
        <v>14458.31640625</v>
      </c>
    </row>
    <row r="60" spans="1:8">
      <c r="A60" s="326" t="s">
        <v>317</v>
      </c>
      <c r="B60" s="335">
        <v>3806.79833984375</v>
      </c>
      <c r="C60" s="126"/>
      <c r="D60" s="326" t="s">
        <v>327</v>
      </c>
      <c r="E60" s="335">
        <v>-280.31222534179699</v>
      </c>
      <c r="F60" s="126"/>
      <c r="G60" s="330" t="s">
        <v>324</v>
      </c>
      <c r="H60" s="339">
        <v>1520.62951660156</v>
      </c>
    </row>
    <row r="61" spans="1:8">
      <c r="A61" s="326" t="s">
        <v>318</v>
      </c>
      <c r="B61" s="335">
        <v>1680.05493164063</v>
      </c>
      <c r="C61" s="126"/>
      <c r="D61" s="326" t="s">
        <v>328</v>
      </c>
      <c r="E61" s="335">
        <v>-147.80339050293</v>
      </c>
      <c r="F61" s="126"/>
      <c r="G61" s="330" t="s">
        <v>91</v>
      </c>
      <c r="H61" s="339">
        <v>3012.990234375</v>
      </c>
    </row>
    <row r="62" spans="1:8">
      <c r="A62" s="326" t="s">
        <v>319</v>
      </c>
      <c r="B62" s="335">
        <v>5918.2919921875</v>
      </c>
      <c r="C62" s="126"/>
      <c r="D62" s="326" t="s">
        <v>92</v>
      </c>
      <c r="E62" s="335">
        <v>-1257.71850585938</v>
      </c>
      <c r="F62" s="126"/>
      <c r="G62" s="330" t="s">
        <v>93</v>
      </c>
      <c r="H62" s="339">
        <v>2069.18139648437</v>
      </c>
    </row>
    <row r="63" spans="1:8">
      <c r="A63" s="326" t="s">
        <v>320</v>
      </c>
      <c r="B63" s="335">
        <v>6234.0146484375</v>
      </c>
      <c r="C63" s="126"/>
      <c r="D63" s="326" t="s">
        <v>94</v>
      </c>
      <c r="E63" s="335">
        <v>2264.72045898437</v>
      </c>
      <c r="F63" s="126"/>
      <c r="G63" s="330" t="s">
        <v>95</v>
      </c>
      <c r="H63" s="339">
        <v>946.61096191406205</v>
      </c>
    </row>
    <row r="64" spans="1:8">
      <c r="A64" s="326" t="s">
        <v>321</v>
      </c>
      <c r="B64" s="335">
        <v>311.94488525390602</v>
      </c>
      <c r="C64" s="126"/>
      <c r="D64" s="326" t="s">
        <v>96</v>
      </c>
      <c r="E64" s="335">
        <v>1030.03967285156</v>
      </c>
      <c r="F64" s="126"/>
      <c r="G64" s="330" t="s">
        <v>97</v>
      </c>
      <c r="H64" s="339">
        <v>626.27294921875</v>
      </c>
    </row>
    <row r="65" spans="1:8">
      <c r="A65" s="326" t="s">
        <v>98</v>
      </c>
      <c r="B65" s="335">
        <v>1280.18481445313</v>
      </c>
      <c r="C65" s="126"/>
      <c r="D65" s="326" t="s">
        <v>99</v>
      </c>
      <c r="E65" s="335">
        <v>1758.47277832031</v>
      </c>
      <c r="F65" s="126"/>
      <c r="G65" s="330" t="s">
        <v>100</v>
      </c>
      <c r="H65" s="339">
        <v>732.63073730468795</v>
      </c>
    </row>
    <row r="66" spans="1:8">
      <c r="A66" s="326" t="s">
        <v>101</v>
      </c>
      <c r="B66" s="335">
        <v>3096.77734375</v>
      </c>
      <c r="C66" s="126"/>
      <c r="D66" s="327" t="s">
        <v>333</v>
      </c>
      <c r="E66" s="335">
        <v>-1305.95288085938</v>
      </c>
      <c r="F66" s="126"/>
      <c r="G66" s="331" t="s">
        <v>102</v>
      </c>
      <c r="H66" s="340">
        <v>-11.5182962417603</v>
      </c>
    </row>
    <row r="67" spans="1:8">
      <c r="A67" s="326" t="s">
        <v>47</v>
      </c>
      <c r="B67" s="335">
        <v>2858.33178710938</v>
      </c>
      <c r="C67" s="126"/>
      <c r="D67" s="327" t="s">
        <v>336</v>
      </c>
      <c r="E67" s="335">
        <v>11410.3916015625</v>
      </c>
      <c r="F67" s="126"/>
      <c r="G67" s="330" t="s">
        <v>103</v>
      </c>
      <c r="H67" s="339">
        <v>-323.98455810546898</v>
      </c>
    </row>
    <row r="68" spans="1:8">
      <c r="A68" s="326" t="s">
        <v>104</v>
      </c>
      <c r="B68" s="335">
        <v>3462.61547851562</v>
      </c>
      <c r="C68" s="126"/>
      <c r="D68" s="126"/>
      <c r="E68" s="126"/>
      <c r="F68" s="126"/>
      <c r="G68" s="330" t="s">
        <v>105</v>
      </c>
      <c r="H68" s="339">
        <v>28.265132904052699</v>
      </c>
    </row>
    <row r="69" spans="1:8">
      <c r="A69" s="326" t="s">
        <v>106</v>
      </c>
      <c r="B69" s="335">
        <v>4606.84814453125</v>
      </c>
      <c r="C69" s="126"/>
      <c r="D69" s="126"/>
      <c r="E69" s="126"/>
      <c r="F69" s="126"/>
      <c r="G69" s="330" t="s">
        <v>327</v>
      </c>
      <c r="H69" s="339">
        <v>-291.64511108398398</v>
      </c>
    </row>
    <row r="70" spans="1:8">
      <c r="A70" s="326" t="s">
        <v>107</v>
      </c>
      <c r="B70" s="335">
        <v>87.7061767578125</v>
      </c>
      <c r="C70" s="126"/>
      <c r="D70" s="126"/>
      <c r="E70" s="126"/>
      <c r="F70" s="126"/>
      <c r="G70" s="330" t="s">
        <v>328</v>
      </c>
      <c r="H70" s="339">
        <v>-132.17971801757801</v>
      </c>
    </row>
    <row r="71" spans="1:8">
      <c r="A71" s="326" t="s">
        <v>48</v>
      </c>
      <c r="B71" s="335">
        <v>706.72357177734398</v>
      </c>
      <c r="C71" s="126"/>
      <c r="D71" s="126"/>
      <c r="E71" s="126"/>
      <c r="F71" s="126"/>
      <c r="G71" s="330" t="s">
        <v>92</v>
      </c>
      <c r="H71" s="339">
        <v>-423.50775146484398</v>
      </c>
    </row>
    <row r="72" spans="1:8">
      <c r="A72" s="326" t="s">
        <v>108</v>
      </c>
      <c r="B72" s="335">
        <v>1068.00561523438</v>
      </c>
      <c r="C72" s="126"/>
      <c r="D72" s="126"/>
      <c r="E72" s="126"/>
      <c r="F72" s="126"/>
      <c r="G72" s="330" t="s">
        <v>94</v>
      </c>
      <c r="H72" s="339">
        <v>149.97135925293</v>
      </c>
    </row>
    <row r="73" spans="1:8">
      <c r="A73" s="326" t="s">
        <v>109</v>
      </c>
      <c r="B73" s="335">
        <v>766.60784912109398</v>
      </c>
      <c r="C73" s="126"/>
      <c r="D73" s="126"/>
      <c r="E73" s="126"/>
      <c r="F73" s="126"/>
      <c r="G73" s="330" t="s">
        <v>96</v>
      </c>
      <c r="H73" s="339">
        <v>-72.207450866699205</v>
      </c>
    </row>
    <row r="74" spans="1:8">
      <c r="A74" s="326" t="s">
        <v>110</v>
      </c>
      <c r="B74" s="335">
        <v>248.80116271972699</v>
      </c>
      <c r="C74" s="126"/>
      <c r="D74" s="126"/>
      <c r="E74" s="126"/>
      <c r="F74" s="126"/>
      <c r="G74" s="330" t="s">
        <v>99</v>
      </c>
      <c r="H74" s="339">
        <v>-112.910285949707</v>
      </c>
    </row>
    <row r="75" spans="1:8">
      <c r="A75" s="326" t="s">
        <v>49</v>
      </c>
      <c r="B75" s="335">
        <v>842.75012207031205</v>
      </c>
      <c r="C75" s="126"/>
      <c r="D75" s="126"/>
      <c r="E75" s="126"/>
      <c r="F75" s="126"/>
      <c r="G75" s="330" t="s">
        <v>111</v>
      </c>
      <c r="H75" s="339">
        <v>272.51791381835898</v>
      </c>
    </row>
    <row r="76" spans="1:8">
      <c r="A76" s="326" t="s">
        <v>50</v>
      </c>
      <c r="B76" s="335">
        <v>2744.43212890625</v>
      </c>
      <c r="C76" s="126"/>
      <c r="D76" s="126"/>
      <c r="E76" s="126"/>
      <c r="F76" s="126"/>
      <c r="G76" s="332" t="s">
        <v>333</v>
      </c>
      <c r="H76" s="341">
        <v>-479.099853515625</v>
      </c>
    </row>
    <row r="77" spans="1:8">
      <c r="A77" s="326" t="s">
        <v>56</v>
      </c>
      <c r="B77" s="335">
        <v>8004.64990234375</v>
      </c>
      <c r="C77" s="126"/>
      <c r="D77" s="126"/>
      <c r="E77" s="126"/>
      <c r="F77" s="126"/>
      <c r="G77" s="330" t="s">
        <v>336</v>
      </c>
      <c r="H77" s="339">
        <v>4398.98046875</v>
      </c>
    </row>
    <row r="78" spans="1:8">
      <c r="A78" s="326" t="s">
        <v>112</v>
      </c>
      <c r="B78" s="335">
        <v>135.80549621582</v>
      </c>
      <c r="C78" s="126"/>
      <c r="D78" s="126"/>
      <c r="E78" s="126"/>
      <c r="F78" s="126"/>
      <c r="G78" s="126"/>
      <c r="H78" s="126"/>
    </row>
    <row r="79" spans="1:8">
      <c r="A79" s="326" t="s">
        <v>51</v>
      </c>
      <c r="B79" s="335">
        <v>6085.15576171875</v>
      </c>
      <c r="C79" s="126"/>
      <c r="D79" s="126"/>
      <c r="E79" s="126"/>
      <c r="F79" s="126"/>
      <c r="G79" s="126"/>
      <c r="H79" s="126"/>
    </row>
    <row r="80" spans="1:8">
      <c r="A80" s="326" t="s">
        <v>52</v>
      </c>
      <c r="B80" s="335">
        <v>911.343017578125</v>
      </c>
      <c r="C80" s="126"/>
      <c r="D80" s="126"/>
      <c r="E80" s="126"/>
      <c r="F80" s="126"/>
      <c r="G80" s="126"/>
      <c r="H80" s="126"/>
    </row>
    <row r="81" spans="1:8">
      <c r="A81" s="326" t="s">
        <v>54</v>
      </c>
      <c r="B81" s="335">
        <v>1980.48742675781</v>
      </c>
      <c r="C81" s="126"/>
      <c r="D81" s="126"/>
      <c r="E81" s="126"/>
      <c r="F81" s="126"/>
      <c r="G81" s="126"/>
      <c r="H81" s="126"/>
    </row>
    <row r="82" spans="1:8">
      <c r="A82" s="326" t="s">
        <v>113</v>
      </c>
      <c r="B82" s="335">
        <v>7779.65625</v>
      </c>
      <c r="C82" s="126"/>
      <c r="D82" s="126"/>
      <c r="E82" s="126"/>
      <c r="F82" s="126"/>
      <c r="G82" s="126"/>
      <c r="H82" s="126"/>
    </row>
    <row r="83" spans="1:8">
      <c r="A83" s="326" t="s">
        <v>114</v>
      </c>
      <c r="B83" s="335">
        <v>3055.94018554687</v>
      </c>
      <c r="C83" s="126"/>
      <c r="D83" s="126"/>
      <c r="E83" s="126"/>
      <c r="F83" s="126"/>
      <c r="G83" s="126"/>
      <c r="H83" s="126"/>
    </row>
    <row r="84" spans="1:8">
      <c r="A84" s="326" t="s">
        <v>115</v>
      </c>
      <c r="B84" s="335">
        <v>328.55773925781199</v>
      </c>
      <c r="C84" s="126"/>
      <c r="D84" s="126"/>
      <c r="E84" s="126"/>
      <c r="F84" s="126"/>
      <c r="G84" s="126"/>
      <c r="H84" s="126"/>
    </row>
    <row r="85" spans="1:8">
      <c r="A85" s="326" t="s">
        <v>116</v>
      </c>
      <c r="B85" s="335">
        <v>938.27874755859398</v>
      </c>
      <c r="C85" s="126"/>
      <c r="D85" s="126"/>
      <c r="E85" s="126"/>
      <c r="F85" s="126"/>
      <c r="G85" s="126"/>
      <c r="H85" s="126"/>
    </row>
    <row r="86" spans="1:8">
      <c r="A86" s="326" t="s">
        <v>117</v>
      </c>
      <c r="B86" s="335">
        <v>948.02130126953102</v>
      </c>
      <c r="C86" s="126"/>
      <c r="D86" s="126"/>
      <c r="E86" s="126"/>
      <c r="F86" s="126"/>
      <c r="G86" s="126"/>
      <c r="H86" s="126"/>
    </row>
    <row r="87" spans="1:8">
      <c r="A87" s="326" t="s">
        <v>62</v>
      </c>
      <c r="B87" s="335">
        <v>498.31063842773398</v>
      </c>
      <c r="C87" s="126"/>
      <c r="D87" s="126"/>
      <c r="E87" s="126"/>
      <c r="F87" s="126"/>
      <c r="G87" s="126"/>
      <c r="H87" s="126"/>
    </row>
    <row r="88" spans="1:8">
      <c r="A88" s="326" t="s">
        <v>64</v>
      </c>
      <c r="B88" s="335">
        <v>1771.48937988281</v>
      </c>
      <c r="C88" s="126"/>
      <c r="D88" s="126"/>
      <c r="E88" s="126"/>
      <c r="F88" s="126"/>
      <c r="G88" s="126"/>
      <c r="H88" s="126"/>
    </row>
    <row r="89" spans="1:8">
      <c r="A89" s="326" t="s">
        <v>55</v>
      </c>
      <c r="B89" s="335">
        <v>910.64117431640602</v>
      </c>
      <c r="C89" s="126"/>
      <c r="D89" s="126"/>
      <c r="E89" s="126"/>
      <c r="F89" s="126"/>
      <c r="G89" s="126"/>
      <c r="H89" s="126"/>
    </row>
    <row r="90" spans="1:8">
      <c r="A90" s="326" t="s">
        <v>189</v>
      </c>
      <c r="B90" s="335">
        <v>2552.38110351562</v>
      </c>
      <c r="C90" s="126"/>
      <c r="D90" s="126"/>
      <c r="E90" s="126"/>
      <c r="F90" s="126"/>
      <c r="G90" s="126"/>
      <c r="H90" s="126"/>
    </row>
    <row r="91" spans="1:8">
      <c r="A91" s="326" t="s">
        <v>118</v>
      </c>
      <c r="B91" s="335">
        <v>2889.8486328125</v>
      </c>
      <c r="C91" s="126"/>
      <c r="D91" s="126"/>
      <c r="E91" s="126"/>
      <c r="F91" s="126"/>
      <c r="G91" s="126"/>
      <c r="H91" s="126"/>
    </row>
    <row r="92" spans="1:8">
      <c r="A92" s="326" t="s">
        <v>57</v>
      </c>
      <c r="B92" s="335">
        <v>4829.2626953125</v>
      </c>
      <c r="C92" s="126"/>
      <c r="D92" s="126"/>
      <c r="E92" s="126"/>
      <c r="F92" s="126"/>
      <c r="G92" s="126"/>
      <c r="H92" s="126"/>
    </row>
    <row r="93" spans="1:8">
      <c r="A93" s="326" t="s">
        <v>58</v>
      </c>
      <c r="B93" s="335">
        <v>2187.24438476562</v>
      </c>
      <c r="C93" s="126"/>
      <c r="D93" s="126"/>
      <c r="E93" s="126"/>
      <c r="F93" s="126"/>
      <c r="G93" s="126"/>
      <c r="H93" s="126"/>
    </row>
    <row r="94" spans="1:8">
      <c r="A94" s="326" t="s">
        <v>59</v>
      </c>
      <c r="B94" s="335">
        <v>639.43591308593705</v>
      </c>
      <c r="C94" s="126"/>
      <c r="D94" s="126"/>
      <c r="E94" s="126"/>
      <c r="F94" s="126"/>
      <c r="G94" s="126"/>
      <c r="H94" s="126"/>
    </row>
    <row r="95" spans="1:8">
      <c r="A95" s="326" t="s">
        <v>119</v>
      </c>
      <c r="B95" s="335">
        <v>354.84515380859398</v>
      </c>
      <c r="C95" s="126"/>
      <c r="D95" s="126"/>
      <c r="E95" s="126"/>
      <c r="F95" s="126"/>
      <c r="G95" s="126"/>
      <c r="H95" s="126"/>
    </row>
    <row r="96" spans="1:8">
      <c r="A96" s="326" t="s">
        <v>63</v>
      </c>
      <c r="B96" s="335">
        <v>1255.94091796875</v>
      </c>
      <c r="C96" s="126"/>
      <c r="D96" s="126"/>
      <c r="E96" s="126"/>
      <c r="F96" s="126"/>
      <c r="G96" s="126"/>
      <c r="H96" s="126"/>
    </row>
    <row r="97" spans="1:8">
      <c r="A97" s="326" t="s">
        <v>65</v>
      </c>
      <c r="B97" s="335">
        <v>2312.87573242188</v>
      </c>
      <c r="C97" s="126"/>
      <c r="D97" s="126"/>
      <c r="E97" s="126"/>
      <c r="F97" s="126"/>
      <c r="G97" s="126"/>
      <c r="H97" s="126"/>
    </row>
    <row r="98" spans="1:8">
      <c r="A98" s="326" t="s">
        <v>120</v>
      </c>
      <c r="B98" s="335">
        <v>576.31787109375</v>
      </c>
      <c r="C98" s="126"/>
      <c r="D98" s="126"/>
      <c r="E98" s="126"/>
      <c r="F98" s="126"/>
      <c r="G98" s="126"/>
      <c r="H98" s="126"/>
    </row>
    <row r="99" spans="1:8">
      <c r="A99" s="326" t="s">
        <v>66</v>
      </c>
      <c r="B99" s="335">
        <v>3013.01513671875</v>
      </c>
      <c r="C99" s="126"/>
      <c r="D99" s="126"/>
      <c r="E99" s="126"/>
      <c r="F99" s="126"/>
      <c r="G99" s="126"/>
      <c r="H99" s="126"/>
    </row>
    <row r="100" spans="1:8">
      <c r="A100" s="326" t="s">
        <v>67</v>
      </c>
      <c r="B100" s="335">
        <v>1944.93676757813</v>
      </c>
      <c r="C100" s="126"/>
      <c r="D100" s="126"/>
      <c r="E100" s="126"/>
      <c r="F100" s="126"/>
      <c r="G100" s="126"/>
      <c r="H100" s="126"/>
    </row>
    <row r="101" spans="1:8">
      <c r="A101" s="326" t="s">
        <v>121</v>
      </c>
      <c r="B101" s="335">
        <v>61.039070129394503</v>
      </c>
      <c r="C101" s="126"/>
      <c r="D101" s="126"/>
      <c r="E101" s="126"/>
      <c r="F101" s="126"/>
      <c r="G101" s="126"/>
      <c r="H101" s="126"/>
    </row>
    <row r="102" spans="1:8">
      <c r="A102" s="326" t="s">
        <v>122</v>
      </c>
      <c r="B102" s="335">
        <v>1214.89306640625</v>
      </c>
      <c r="C102" s="126"/>
      <c r="D102" s="126"/>
      <c r="E102" s="126"/>
      <c r="F102" s="126"/>
      <c r="G102" s="126"/>
      <c r="H102" s="126"/>
    </row>
    <row r="103" spans="1:8">
      <c r="A103" s="326" t="s">
        <v>123</v>
      </c>
      <c r="B103" s="335">
        <v>315.68597412109398</v>
      </c>
      <c r="C103" s="126"/>
      <c r="D103" s="126"/>
      <c r="E103" s="126"/>
      <c r="F103" s="126"/>
      <c r="G103" s="126"/>
      <c r="H103" s="126"/>
    </row>
    <row r="104" spans="1:8">
      <c r="A104" s="326" t="s">
        <v>190</v>
      </c>
      <c r="B104" s="335">
        <v>283.53421020507801</v>
      </c>
      <c r="C104" s="126"/>
      <c r="D104" s="126"/>
      <c r="E104" s="126"/>
      <c r="F104" s="126"/>
      <c r="G104" s="126"/>
      <c r="H104" s="126"/>
    </row>
    <row r="105" spans="1:8">
      <c r="A105" s="326" t="s">
        <v>124</v>
      </c>
      <c r="B105" s="335">
        <v>408.22961425781301</v>
      </c>
      <c r="C105" s="126"/>
      <c r="D105" s="126"/>
      <c r="E105" s="126"/>
      <c r="F105" s="126"/>
      <c r="G105" s="126"/>
      <c r="H105" s="126"/>
    </row>
    <row r="106" spans="1:8">
      <c r="A106" s="326" t="s">
        <v>125</v>
      </c>
      <c r="B106" s="335">
        <v>745.39697265625</v>
      </c>
      <c r="C106" s="126"/>
      <c r="D106" s="126"/>
      <c r="E106" s="126"/>
      <c r="F106" s="126"/>
      <c r="G106" s="126"/>
      <c r="H106" s="126"/>
    </row>
    <row r="107" spans="1:8">
      <c r="A107" s="326" t="s">
        <v>126</v>
      </c>
      <c r="B107" s="335">
        <v>568.22113037109398</v>
      </c>
      <c r="C107" s="126"/>
      <c r="D107" s="126"/>
      <c r="E107" s="126"/>
      <c r="F107" s="126"/>
      <c r="G107" s="126"/>
      <c r="H107" s="126"/>
    </row>
    <row r="108" spans="1:8">
      <c r="A108" s="326" t="s">
        <v>127</v>
      </c>
      <c r="B108" s="335">
        <v>505.52346801757801</v>
      </c>
      <c r="C108" s="126"/>
      <c r="D108" s="126"/>
      <c r="E108" s="126"/>
      <c r="F108" s="126"/>
      <c r="G108" s="126"/>
      <c r="H108" s="126"/>
    </row>
    <row r="109" spans="1:8">
      <c r="A109" s="326" t="s">
        <v>128</v>
      </c>
      <c r="B109" s="335">
        <v>742.73114013671898</v>
      </c>
      <c r="C109" s="126"/>
      <c r="D109" s="126"/>
      <c r="E109" s="126"/>
      <c r="F109" s="126"/>
      <c r="G109" s="126"/>
      <c r="H109" s="126"/>
    </row>
    <row r="110" spans="1:8">
      <c r="A110" s="326" t="s">
        <v>129</v>
      </c>
      <c r="B110" s="335">
        <v>318.62121582031199</v>
      </c>
      <c r="C110" s="126"/>
      <c r="D110" s="126"/>
      <c r="E110" s="126"/>
      <c r="F110" s="126"/>
      <c r="G110" s="126"/>
      <c r="H110" s="126"/>
    </row>
    <row r="111" spans="1:8">
      <c r="A111" s="326" t="s">
        <v>130</v>
      </c>
      <c r="B111" s="335">
        <v>276.62594604492199</v>
      </c>
      <c r="C111" s="126"/>
      <c r="D111" s="126"/>
      <c r="E111" s="126"/>
      <c r="F111" s="126"/>
      <c r="G111" s="126"/>
      <c r="H111" s="126"/>
    </row>
    <row r="112" spans="1:8">
      <c r="A112" s="326" t="s">
        <v>131</v>
      </c>
      <c r="B112" s="335">
        <v>350.20291137695301</v>
      </c>
      <c r="C112" s="126"/>
      <c r="D112" s="126"/>
      <c r="E112" s="126"/>
      <c r="F112" s="126"/>
      <c r="G112" s="126"/>
      <c r="H112" s="126"/>
    </row>
    <row r="113" spans="1:8">
      <c r="A113" s="326" t="s">
        <v>132</v>
      </c>
      <c r="B113" s="335">
        <v>668.23376464843795</v>
      </c>
      <c r="C113" s="126"/>
      <c r="D113" s="126"/>
      <c r="E113" s="126"/>
      <c r="F113" s="126"/>
      <c r="G113" s="126"/>
      <c r="H113" s="126"/>
    </row>
    <row r="114" spans="1:8">
      <c r="A114" s="326" t="s">
        <v>68</v>
      </c>
      <c r="B114" s="335">
        <v>1068.1220703125</v>
      </c>
      <c r="C114" s="126"/>
      <c r="D114" s="126"/>
      <c r="E114" s="126"/>
      <c r="F114" s="126"/>
      <c r="G114" s="126"/>
      <c r="H114" s="126"/>
    </row>
    <row r="115" spans="1:8">
      <c r="A115" s="326" t="s">
        <v>69</v>
      </c>
      <c r="B115" s="335">
        <v>2228.89721679687</v>
      </c>
      <c r="C115" s="126"/>
      <c r="D115" s="126"/>
      <c r="E115" s="126"/>
      <c r="F115" s="126"/>
      <c r="G115" s="126"/>
      <c r="H115" s="126"/>
    </row>
    <row r="116" spans="1:8">
      <c r="A116" s="326" t="s">
        <v>70</v>
      </c>
      <c r="B116" s="335">
        <v>1270.26147460938</v>
      </c>
      <c r="C116" s="126"/>
      <c r="D116" s="126"/>
      <c r="E116" s="126"/>
      <c r="F116" s="126"/>
      <c r="G116" s="126"/>
      <c r="H116" s="126"/>
    </row>
    <row r="117" spans="1:8">
      <c r="A117" s="326" t="s">
        <v>71</v>
      </c>
      <c r="B117" s="335">
        <v>4417.9140625</v>
      </c>
      <c r="C117" s="126"/>
      <c r="D117" s="126"/>
      <c r="E117" s="126"/>
      <c r="F117" s="126"/>
      <c r="G117" s="126"/>
      <c r="H117" s="126"/>
    </row>
    <row r="118" spans="1:8">
      <c r="A118" s="326" t="s">
        <v>133</v>
      </c>
      <c r="B118" s="335">
        <v>1694.73620605469</v>
      </c>
      <c r="C118" s="126"/>
      <c r="D118" s="126"/>
      <c r="E118" s="126"/>
      <c r="F118" s="126"/>
      <c r="G118" s="126"/>
      <c r="H118" s="126"/>
    </row>
    <row r="119" spans="1:8">
      <c r="A119" s="326" t="s">
        <v>134</v>
      </c>
      <c r="B119" s="335">
        <v>967.09802246093795</v>
      </c>
      <c r="C119" s="126"/>
      <c r="D119" s="126"/>
      <c r="E119" s="126"/>
      <c r="F119" s="126"/>
      <c r="G119" s="126"/>
      <c r="H119" s="126"/>
    </row>
    <row r="120" spans="1:8">
      <c r="A120" s="326" t="s">
        <v>135</v>
      </c>
      <c r="B120" s="335">
        <v>790.70379638671898</v>
      </c>
      <c r="C120" s="126"/>
      <c r="D120" s="126"/>
      <c r="E120" s="126"/>
      <c r="F120" s="126"/>
      <c r="G120" s="126"/>
      <c r="H120" s="126"/>
    </row>
    <row r="121" spans="1:8">
      <c r="A121" s="326" t="s">
        <v>72</v>
      </c>
      <c r="B121" s="335">
        <v>1574.26879882813</v>
      </c>
      <c r="C121" s="126"/>
      <c r="D121" s="126"/>
      <c r="E121" s="126"/>
      <c r="F121" s="126"/>
      <c r="G121" s="126"/>
      <c r="H121" s="126"/>
    </row>
    <row r="122" spans="1:8">
      <c r="A122" s="326" t="s">
        <v>136</v>
      </c>
      <c r="B122" s="335">
        <v>1460.27795410156</v>
      </c>
      <c r="C122" s="126"/>
      <c r="D122" s="126"/>
      <c r="E122" s="126"/>
      <c r="F122" s="126"/>
      <c r="G122" s="126"/>
      <c r="H122" s="126"/>
    </row>
    <row r="123" spans="1:8">
      <c r="A123" s="326" t="s">
        <v>191</v>
      </c>
      <c r="B123" s="335">
        <v>2079.02758789062</v>
      </c>
      <c r="C123" s="126"/>
      <c r="D123" s="126"/>
      <c r="E123" s="126"/>
      <c r="F123" s="126"/>
      <c r="G123" s="126"/>
      <c r="H123" s="126"/>
    </row>
    <row r="124" spans="1:8">
      <c r="A124" s="326" t="s">
        <v>74</v>
      </c>
      <c r="B124" s="335">
        <v>1541.37097167969</v>
      </c>
      <c r="C124" s="126"/>
      <c r="D124" s="126"/>
      <c r="E124" s="126"/>
      <c r="F124" s="126"/>
      <c r="G124" s="126"/>
      <c r="H124" s="126"/>
    </row>
    <row r="125" spans="1:8">
      <c r="A125" s="326" t="s">
        <v>137</v>
      </c>
      <c r="B125" s="335">
        <v>426.95135498046898</v>
      </c>
      <c r="C125" s="126"/>
      <c r="D125" s="126"/>
      <c r="E125" s="126"/>
      <c r="F125" s="126"/>
      <c r="G125" s="126"/>
      <c r="H125" s="126"/>
    </row>
    <row r="126" spans="1:8">
      <c r="A126" s="326" t="s">
        <v>138</v>
      </c>
      <c r="B126" s="335">
        <v>2306.31201171875</v>
      </c>
      <c r="C126" s="126"/>
      <c r="D126" s="126"/>
      <c r="E126" s="126"/>
      <c r="F126" s="126"/>
      <c r="G126" s="126"/>
      <c r="H126" s="126"/>
    </row>
    <row r="127" spans="1:8">
      <c r="A127" s="326" t="s">
        <v>322</v>
      </c>
      <c r="B127" s="335">
        <v>4602.33056640625</v>
      </c>
      <c r="C127" s="126"/>
      <c r="D127" s="126"/>
      <c r="E127" s="126"/>
      <c r="F127" s="126"/>
      <c r="G127" s="126"/>
      <c r="H127" s="126"/>
    </row>
    <row r="128" spans="1:8">
      <c r="A128" s="326" t="s">
        <v>186</v>
      </c>
      <c r="B128" s="335">
        <v>2252.81079101563</v>
      </c>
      <c r="C128" s="126"/>
      <c r="D128" s="126"/>
      <c r="E128" s="126"/>
      <c r="F128" s="126"/>
      <c r="G128" s="126"/>
      <c r="H128" s="126"/>
    </row>
    <row r="129" spans="1:8">
      <c r="A129" s="326" t="s">
        <v>139</v>
      </c>
      <c r="B129" s="335">
        <v>1542.09094238281</v>
      </c>
      <c r="C129" s="126"/>
      <c r="D129" s="126"/>
      <c r="E129" s="126"/>
      <c r="F129" s="126"/>
      <c r="G129" s="126"/>
      <c r="H129" s="126"/>
    </row>
    <row r="130" spans="1:8">
      <c r="A130" s="326" t="s">
        <v>323</v>
      </c>
      <c r="B130" s="335">
        <v>2306.57763671875</v>
      </c>
      <c r="C130" s="126"/>
      <c r="D130" s="126"/>
      <c r="E130" s="126"/>
      <c r="F130" s="126"/>
      <c r="G130" s="126"/>
      <c r="H130" s="126"/>
    </row>
    <row r="131" spans="1:8">
      <c r="A131" s="326" t="s">
        <v>140</v>
      </c>
      <c r="B131" s="335">
        <v>823.40960693359398</v>
      </c>
      <c r="C131" s="126"/>
      <c r="D131" s="126"/>
      <c r="E131" s="126"/>
      <c r="F131" s="126"/>
      <c r="G131" s="126"/>
      <c r="H131" s="126"/>
    </row>
    <row r="132" spans="1:8">
      <c r="A132" s="326" t="s">
        <v>73</v>
      </c>
      <c r="B132" s="335">
        <v>677.18585205078102</v>
      </c>
      <c r="C132" s="126"/>
      <c r="D132" s="126"/>
      <c r="E132" s="126"/>
      <c r="F132" s="126"/>
      <c r="G132" s="126"/>
      <c r="H132" s="126"/>
    </row>
    <row r="133" spans="1:8">
      <c r="A133" s="326" t="s">
        <v>141</v>
      </c>
      <c r="B133" s="335">
        <v>678.41418457031295</v>
      </c>
      <c r="C133" s="126"/>
      <c r="D133" s="126"/>
      <c r="E133" s="126"/>
      <c r="F133" s="126"/>
      <c r="G133" s="126"/>
      <c r="H133" s="126"/>
    </row>
    <row r="134" spans="1:8">
      <c r="A134" s="326" t="s">
        <v>142</v>
      </c>
      <c r="B134" s="335">
        <v>1210.84619140625</v>
      </c>
      <c r="C134" s="126"/>
      <c r="D134" s="126"/>
      <c r="E134" s="126"/>
      <c r="F134" s="126"/>
      <c r="G134" s="126"/>
      <c r="H134" s="126"/>
    </row>
    <row r="135" spans="1:8">
      <c r="A135" s="326" t="s">
        <v>143</v>
      </c>
      <c r="B135" s="335">
        <v>2270.7529296875</v>
      </c>
      <c r="C135" s="126"/>
      <c r="D135" s="126"/>
      <c r="E135" s="126"/>
      <c r="F135" s="126"/>
      <c r="G135" s="126"/>
      <c r="H135" s="126"/>
    </row>
    <row r="136" spans="1:8">
      <c r="A136" s="326" t="s">
        <v>144</v>
      </c>
      <c r="B136" s="335">
        <v>1212.54760742188</v>
      </c>
      <c r="C136" s="126"/>
      <c r="D136" s="126"/>
      <c r="E136" s="126"/>
      <c r="F136" s="126"/>
      <c r="G136" s="126"/>
      <c r="H136" s="126"/>
    </row>
    <row r="137" spans="1:8">
      <c r="A137" s="326" t="s">
        <v>145</v>
      </c>
      <c r="B137" s="335">
        <v>525.52966308593795</v>
      </c>
      <c r="C137" s="126"/>
      <c r="D137" s="126"/>
      <c r="E137" s="126"/>
      <c r="F137" s="126"/>
      <c r="G137" s="126"/>
      <c r="H137" s="126"/>
    </row>
    <row r="138" spans="1:8">
      <c r="A138" s="326" t="s">
        <v>146</v>
      </c>
      <c r="B138" s="335">
        <v>354.59371948242199</v>
      </c>
      <c r="C138" s="126"/>
      <c r="D138" s="126"/>
      <c r="E138" s="126"/>
      <c r="F138" s="126"/>
      <c r="G138" s="126"/>
      <c r="H138" s="126"/>
    </row>
    <row r="139" spans="1:8">
      <c r="A139" s="326" t="s">
        <v>147</v>
      </c>
      <c r="B139" s="335">
        <v>595.61145019531295</v>
      </c>
      <c r="C139" s="126"/>
      <c r="D139" s="126"/>
      <c r="E139" s="126"/>
      <c r="F139" s="126"/>
      <c r="G139" s="126"/>
      <c r="H139" s="126"/>
    </row>
    <row r="140" spans="1:8">
      <c r="A140" s="326" t="s">
        <v>76</v>
      </c>
      <c r="B140" s="335">
        <v>5936.435546875</v>
      </c>
      <c r="C140" s="126"/>
      <c r="D140" s="126"/>
      <c r="E140" s="126"/>
      <c r="F140" s="126"/>
      <c r="G140" s="126"/>
      <c r="H140" s="126"/>
    </row>
    <row r="141" spans="1:8">
      <c r="A141" s="326" t="s">
        <v>148</v>
      </c>
      <c r="B141" s="335">
        <v>522.51086425781205</v>
      </c>
      <c r="C141" s="126"/>
      <c r="D141" s="126"/>
      <c r="E141" s="126"/>
      <c r="F141" s="126"/>
      <c r="G141" s="126"/>
      <c r="H141" s="126"/>
    </row>
    <row r="142" spans="1:8">
      <c r="A142" s="326" t="s">
        <v>149</v>
      </c>
      <c r="B142" s="335">
        <v>193.76824951171901</v>
      </c>
      <c r="C142" s="126"/>
      <c r="D142" s="126"/>
      <c r="E142" s="126"/>
      <c r="F142" s="126"/>
      <c r="G142" s="126"/>
      <c r="H142" s="126"/>
    </row>
    <row r="143" spans="1:8">
      <c r="A143" s="326" t="s">
        <v>187</v>
      </c>
      <c r="B143" s="335">
        <v>1140.24365234375</v>
      </c>
      <c r="C143" s="126"/>
      <c r="D143" s="126"/>
      <c r="E143" s="126"/>
      <c r="F143" s="126"/>
      <c r="G143" s="126"/>
      <c r="H143" s="126"/>
    </row>
    <row r="144" spans="1:8">
      <c r="A144" s="326" t="s">
        <v>78</v>
      </c>
      <c r="B144" s="335">
        <v>920.87298583984398</v>
      </c>
      <c r="C144" s="126"/>
      <c r="D144" s="126"/>
      <c r="E144" s="126"/>
      <c r="F144" s="126"/>
      <c r="G144" s="126"/>
      <c r="H144" s="126"/>
    </row>
    <row r="145" spans="1:8">
      <c r="A145" s="326" t="s">
        <v>192</v>
      </c>
      <c r="B145" s="335">
        <v>191.49473571777301</v>
      </c>
      <c r="C145" s="126"/>
      <c r="D145" s="126"/>
      <c r="E145" s="126"/>
      <c r="F145" s="126"/>
      <c r="G145" s="126"/>
      <c r="H145" s="126"/>
    </row>
    <row r="146" spans="1:8">
      <c r="A146" s="326" t="s">
        <v>150</v>
      </c>
      <c r="B146" s="335">
        <v>478.24008178710898</v>
      </c>
      <c r="C146" s="126"/>
      <c r="D146" s="126"/>
      <c r="E146" s="126"/>
      <c r="F146" s="126"/>
      <c r="G146" s="126"/>
      <c r="H146" s="126"/>
    </row>
    <row r="147" spans="1:8">
      <c r="A147" s="326" t="s">
        <v>151</v>
      </c>
      <c r="B147" s="335">
        <v>617.88024902343795</v>
      </c>
      <c r="C147" s="126"/>
      <c r="D147" s="126"/>
      <c r="E147" s="126"/>
      <c r="F147" s="126"/>
      <c r="G147" s="126"/>
      <c r="H147" s="126"/>
    </row>
    <row r="148" spans="1:8">
      <c r="A148" s="326" t="s">
        <v>80</v>
      </c>
      <c r="B148" s="335">
        <v>1185.98962402344</v>
      </c>
      <c r="C148" s="126"/>
      <c r="D148" s="126"/>
      <c r="E148" s="126"/>
      <c r="F148" s="126"/>
      <c r="G148" s="126"/>
      <c r="H148" s="126"/>
    </row>
    <row r="149" spans="1:8">
      <c r="A149" s="326" t="s">
        <v>193</v>
      </c>
      <c r="B149" s="335">
        <v>207.22351074218699</v>
      </c>
      <c r="C149" s="126"/>
      <c r="D149" s="126"/>
      <c r="E149" s="126"/>
      <c r="F149" s="126"/>
      <c r="G149" s="126"/>
      <c r="H149" s="126"/>
    </row>
    <row r="150" spans="1:8">
      <c r="A150" s="326" t="s">
        <v>152</v>
      </c>
      <c r="B150" s="335">
        <v>906.67803955078102</v>
      </c>
      <c r="C150" s="126"/>
      <c r="D150" s="126"/>
      <c r="E150" s="126"/>
      <c r="F150" s="126"/>
      <c r="G150" s="126"/>
      <c r="H150" s="126"/>
    </row>
    <row r="151" spans="1:8">
      <c r="A151" s="326" t="s">
        <v>83</v>
      </c>
      <c r="B151" s="335">
        <v>672.04675292968795</v>
      </c>
      <c r="C151" s="126"/>
      <c r="D151" s="126"/>
      <c r="E151" s="126"/>
      <c r="F151" s="126"/>
      <c r="G151" s="126"/>
      <c r="H151" s="126"/>
    </row>
    <row r="152" spans="1:8">
      <c r="A152" s="326" t="s">
        <v>153</v>
      </c>
      <c r="B152" s="335">
        <v>8340.267578125</v>
      </c>
      <c r="C152" s="126"/>
      <c r="D152" s="126"/>
      <c r="E152" s="126"/>
      <c r="F152" s="126"/>
      <c r="G152" s="126"/>
      <c r="H152" s="126"/>
    </row>
    <row r="153" spans="1:8">
      <c r="A153" s="326" t="s">
        <v>81</v>
      </c>
      <c r="B153" s="335">
        <v>1899.41174316406</v>
      </c>
      <c r="C153" s="126"/>
      <c r="D153" s="126"/>
      <c r="E153" s="126"/>
      <c r="F153" s="126"/>
      <c r="G153" s="126"/>
      <c r="H153" s="126"/>
    </row>
    <row r="154" spans="1:8">
      <c r="A154" s="326" t="s">
        <v>82</v>
      </c>
      <c r="B154" s="335">
        <v>845.79693603515602</v>
      </c>
      <c r="C154" s="126"/>
      <c r="D154" s="126"/>
      <c r="E154" s="126"/>
      <c r="F154" s="126"/>
      <c r="G154" s="126"/>
      <c r="H154" s="126"/>
    </row>
    <row r="155" spans="1:8">
      <c r="A155" s="326" t="s">
        <v>154</v>
      </c>
      <c r="B155" s="335">
        <v>1296.69458007813</v>
      </c>
      <c r="C155" s="126"/>
      <c r="D155" s="126"/>
      <c r="E155" s="126"/>
      <c r="F155" s="126"/>
      <c r="G155" s="126"/>
      <c r="H155" s="126"/>
    </row>
    <row r="156" spans="1:8">
      <c r="A156" s="326" t="s">
        <v>155</v>
      </c>
      <c r="B156" s="335">
        <v>267.420166015625</v>
      </c>
      <c r="C156" s="126"/>
      <c r="D156" s="126"/>
      <c r="E156" s="126"/>
      <c r="F156" s="126"/>
      <c r="G156" s="126"/>
      <c r="H156" s="126"/>
    </row>
    <row r="157" spans="1:8">
      <c r="A157" s="326" t="s">
        <v>156</v>
      </c>
      <c r="B157" s="335">
        <v>726.92132568359398</v>
      </c>
      <c r="C157" s="126"/>
      <c r="D157" s="126"/>
      <c r="E157" s="126"/>
      <c r="F157" s="126"/>
      <c r="G157" s="126"/>
      <c r="H157" s="126"/>
    </row>
    <row r="158" spans="1:8">
      <c r="A158" s="326" t="s">
        <v>188</v>
      </c>
      <c r="B158" s="335">
        <v>1566.80297851563</v>
      </c>
      <c r="C158" s="126"/>
      <c r="D158" s="126"/>
      <c r="E158" s="126"/>
      <c r="F158" s="126"/>
      <c r="G158" s="126"/>
      <c r="H158" s="126"/>
    </row>
    <row r="159" spans="1:8">
      <c r="A159" s="326" t="s">
        <v>157</v>
      </c>
      <c r="B159" s="335">
        <v>552.64807128906295</v>
      </c>
      <c r="C159" s="126"/>
      <c r="D159" s="126"/>
      <c r="E159" s="126"/>
      <c r="F159" s="126"/>
      <c r="G159" s="126"/>
      <c r="H159" s="126"/>
    </row>
    <row r="160" spans="1:8">
      <c r="A160" s="326" t="s">
        <v>84</v>
      </c>
      <c r="B160" s="335">
        <v>571.46319580078102</v>
      </c>
      <c r="C160" s="126"/>
      <c r="D160" s="126"/>
      <c r="E160" s="126"/>
      <c r="F160" s="126"/>
      <c r="G160" s="126"/>
      <c r="H160" s="126"/>
    </row>
    <row r="161" spans="1:8">
      <c r="A161" s="326" t="s">
        <v>85</v>
      </c>
      <c r="B161" s="335">
        <v>1498.07653808594</v>
      </c>
      <c r="C161" s="126"/>
      <c r="D161" s="126"/>
      <c r="E161" s="126"/>
      <c r="F161" s="126"/>
      <c r="G161" s="126"/>
      <c r="H161" s="126"/>
    </row>
    <row r="162" spans="1:8">
      <c r="A162" s="326" t="s">
        <v>86</v>
      </c>
      <c r="B162" s="335">
        <v>483.73748779296898</v>
      </c>
      <c r="C162" s="126"/>
      <c r="D162" s="126"/>
      <c r="E162" s="126"/>
      <c r="F162" s="126"/>
      <c r="G162" s="126"/>
      <c r="H162" s="126"/>
    </row>
    <row r="163" spans="1:8">
      <c r="A163" s="326" t="s">
        <v>87</v>
      </c>
      <c r="B163" s="335">
        <v>524.25238037109398</v>
      </c>
      <c r="C163" s="126"/>
      <c r="D163" s="126"/>
      <c r="E163" s="126"/>
      <c r="F163" s="126"/>
      <c r="G163" s="126"/>
      <c r="H163" s="126"/>
    </row>
    <row r="164" spans="1:8">
      <c r="A164" s="326" t="s">
        <v>88</v>
      </c>
      <c r="B164" s="335">
        <v>91.199607849121094</v>
      </c>
      <c r="C164" s="126"/>
      <c r="D164" s="126"/>
      <c r="E164" s="126"/>
      <c r="F164" s="126"/>
      <c r="G164" s="126"/>
      <c r="H164" s="126"/>
    </row>
    <row r="165" spans="1:8">
      <c r="A165" s="326" t="s">
        <v>89</v>
      </c>
      <c r="B165" s="335">
        <v>453.02847290039102</v>
      </c>
      <c r="C165" s="126"/>
      <c r="D165" s="126"/>
      <c r="E165" s="126"/>
      <c r="F165" s="126"/>
      <c r="G165" s="126"/>
      <c r="H165" s="126"/>
    </row>
    <row r="166" spans="1:8">
      <c r="A166" s="326" t="s">
        <v>90</v>
      </c>
      <c r="B166" s="335">
        <v>1845.39318847656</v>
      </c>
      <c r="C166" s="126"/>
      <c r="D166" s="126"/>
      <c r="E166" s="126"/>
      <c r="F166" s="126"/>
      <c r="G166" s="126"/>
      <c r="H166" s="126"/>
    </row>
    <row r="167" spans="1:8">
      <c r="A167" s="326" t="s">
        <v>324</v>
      </c>
      <c r="B167" s="335">
        <v>1384.22802734375</v>
      </c>
      <c r="C167" s="126"/>
      <c r="D167" s="126"/>
      <c r="E167" s="126"/>
      <c r="F167" s="126"/>
      <c r="G167" s="126"/>
      <c r="H167" s="126"/>
    </row>
    <row r="168" spans="1:8">
      <c r="A168" s="326" t="s">
        <v>325</v>
      </c>
      <c r="B168" s="335">
        <v>-327.66476440429699</v>
      </c>
      <c r="C168" s="126"/>
      <c r="D168" s="126"/>
      <c r="E168" s="126"/>
      <c r="F168" s="126"/>
      <c r="G168" s="126"/>
      <c r="H168" s="126"/>
    </row>
    <row r="169" spans="1:8">
      <c r="A169" s="326" t="s">
        <v>326</v>
      </c>
      <c r="B169" s="335">
        <v>19.883337020873999</v>
      </c>
      <c r="C169" s="126"/>
      <c r="D169" s="126"/>
      <c r="E169" s="126"/>
      <c r="F169" s="126"/>
      <c r="G169" s="126"/>
      <c r="H169" s="126"/>
    </row>
    <row r="170" spans="1:8">
      <c r="A170" s="326" t="s">
        <v>194</v>
      </c>
      <c r="B170" s="335">
        <v>5462.681640625</v>
      </c>
      <c r="C170" s="126"/>
      <c r="D170" s="126"/>
      <c r="E170" s="126"/>
      <c r="F170" s="126"/>
      <c r="G170" s="126"/>
      <c r="H170" s="126"/>
    </row>
    <row r="171" spans="1:8">
      <c r="A171" s="326" t="s">
        <v>91</v>
      </c>
      <c r="B171" s="335">
        <v>3099.94311523437</v>
      </c>
      <c r="C171" s="126"/>
      <c r="D171" s="126"/>
      <c r="E171" s="126"/>
      <c r="F171" s="126"/>
      <c r="G171" s="126"/>
      <c r="H171" s="126"/>
    </row>
    <row r="172" spans="1:8">
      <c r="A172" s="326" t="s">
        <v>93</v>
      </c>
      <c r="B172" s="335">
        <v>530.00250244140602</v>
      </c>
      <c r="C172" s="126"/>
      <c r="D172" s="126"/>
      <c r="E172" s="126"/>
      <c r="F172" s="126"/>
      <c r="G172" s="126"/>
      <c r="H172" s="126"/>
    </row>
    <row r="173" spans="1:8">
      <c r="A173" s="326" t="s">
        <v>95</v>
      </c>
      <c r="B173" s="335">
        <v>-368.904296875</v>
      </c>
      <c r="C173" s="126"/>
      <c r="D173" s="126"/>
      <c r="E173" s="126"/>
      <c r="F173" s="126"/>
      <c r="G173" s="126"/>
      <c r="H173" s="126"/>
    </row>
    <row r="174" spans="1:8">
      <c r="A174" s="326" t="s">
        <v>97</v>
      </c>
      <c r="B174" s="335">
        <v>280.39630126953102</v>
      </c>
      <c r="C174" s="126"/>
      <c r="D174" s="126"/>
      <c r="E174" s="126"/>
      <c r="F174" s="126"/>
      <c r="G174" s="126"/>
      <c r="H174" s="126"/>
    </row>
    <row r="175" spans="1:8">
      <c r="A175" s="326" t="s">
        <v>100</v>
      </c>
      <c r="B175" s="335">
        <v>595.21716308593795</v>
      </c>
      <c r="C175" s="126"/>
      <c r="D175" s="126"/>
      <c r="E175" s="126"/>
      <c r="F175" s="126"/>
      <c r="G175" s="126"/>
      <c r="H175" s="126"/>
    </row>
    <row r="176" spans="1:8">
      <c r="A176" s="326" t="s">
        <v>102</v>
      </c>
      <c r="B176" s="335">
        <v>-240.73895263671901</v>
      </c>
      <c r="C176" s="126"/>
      <c r="D176" s="126"/>
      <c r="E176" s="126"/>
      <c r="F176" s="126"/>
      <c r="G176" s="126"/>
      <c r="H176" s="126"/>
    </row>
    <row r="177" spans="1:8">
      <c r="A177" s="326" t="s">
        <v>103</v>
      </c>
      <c r="B177" s="335">
        <v>-112.52561187744099</v>
      </c>
      <c r="C177" s="126"/>
      <c r="D177" s="126"/>
      <c r="E177" s="126"/>
      <c r="F177" s="126"/>
      <c r="G177" s="126"/>
      <c r="H177" s="126"/>
    </row>
    <row r="178" spans="1:8">
      <c r="A178" s="326" t="s">
        <v>105</v>
      </c>
      <c r="B178" s="335">
        <v>-414.08084106445301</v>
      </c>
      <c r="C178" s="126"/>
      <c r="D178" s="126"/>
      <c r="E178" s="126"/>
      <c r="F178" s="126"/>
      <c r="G178" s="126"/>
      <c r="H178" s="126"/>
    </row>
    <row r="179" spans="1:8">
      <c r="A179" s="326" t="s">
        <v>327</v>
      </c>
      <c r="B179" s="335">
        <v>-68.08642578125</v>
      </c>
      <c r="C179" s="126"/>
      <c r="D179" s="126"/>
      <c r="E179" s="126"/>
      <c r="F179" s="126"/>
      <c r="G179" s="126"/>
      <c r="H179" s="126"/>
    </row>
    <row r="180" spans="1:8">
      <c r="A180" s="326" t="s">
        <v>328</v>
      </c>
      <c r="B180" s="335">
        <v>-100.05593109130901</v>
      </c>
      <c r="C180" s="126"/>
      <c r="D180" s="126"/>
      <c r="E180" s="126"/>
      <c r="F180" s="126"/>
      <c r="G180" s="126"/>
      <c r="H180" s="126"/>
    </row>
    <row r="181" spans="1:8">
      <c r="A181" s="326" t="s">
        <v>92</v>
      </c>
      <c r="B181" s="335">
        <v>-111.596382141113</v>
      </c>
      <c r="C181" s="126"/>
      <c r="D181" s="126"/>
      <c r="E181" s="126"/>
      <c r="F181" s="126"/>
      <c r="G181" s="126"/>
      <c r="H181" s="126"/>
    </row>
    <row r="182" spans="1:8">
      <c r="A182" s="326" t="s">
        <v>94</v>
      </c>
      <c r="B182" s="335">
        <v>41.478305816650398</v>
      </c>
      <c r="C182" s="126"/>
      <c r="D182" s="126"/>
      <c r="E182" s="126"/>
      <c r="F182" s="126"/>
      <c r="G182" s="126"/>
      <c r="H182" s="126"/>
    </row>
    <row r="183" spans="1:8">
      <c r="A183" s="326" t="s">
        <v>96</v>
      </c>
      <c r="B183" s="335">
        <v>89.029098510742202</v>
      </c>
      <c r="C183" s="126"/>
      <c r="D183" s="126"/>
      <c r="E183" s="126"/>
      <c r="F183" s="126"/>
      <c r="G183" s="126"/>
      <c r="H183" s="126"/>
    </row>
    <row r="184" spans="1:8">
      <c r="A184" s="326" t="s">
        <v>99</v>
      </c>
      <c r="B184" s="335">
        <v>-108.24895477294901</v>
      </c>
      <c r="C184" s="126"/>
      <c r="D184" s="126"/>
      <c r="E184" s="126"/>
      <c r="F184" s="126"/>
      <c r="G184" s="126"/>
      <c r="H184" s="126"/>
    </row>
    <row r="185" spans="1:8">
      <c r="A185" s="326" t="s">
        <v>111</v>
      </c>
      <c r="B185" s="335">
        <v>92.210166931152401</v>
      </c>
      <c r="C185" s="126"/>
      <c r="D185" s="126"/>
      <c r="E185" s="126"/>
      <c r="F185" s="126"/>
      <c r="G185" s="126"/>
      <c r="H185" s="126"/>
    </row>
    <row r="186" spans="1:8">
      <c r="A186" s="326" t="s">
        <v>329</v>
      </c>
      <c r="B186" s="335">
        <v>-123.857528686523</v>
      </c>
      <c r="C186" s="126"/>
      <c r="D186" s="126"/>
      <c r="E186" s="126"/>
      <c r="F186" s="126"/>
      <c r="G186" s="126"/>
      <c r="H186" s="126"/>
    </row>
    <row r="187" spans="1:8">
      <c r="A187" s="326" t="s">
        <v>330</v>
      </c>
      <c r="B187" s="335">
        <v>747.39099121093705</v>
      </c>
      <c r="C187" s="126"/>
      <c r="D187" s="126"/>
      <c r="E187" s="126"/>
      <c r="F187" s="126"/>
      <c r="G187" s="126"/>
      <c r="H187" s="126"/>
    </row>
    <row r="188" spans="1:8">
      <c r="A188" s="326" t="s">
        <v>331</v>
      </c>
      <c r="B188" s="335">
        <v>1850.21594238281</v>
      </c>
      <c r="C188" s="126"/>
      <c r="D188" s="126"/>
      <c r="E188" s="126"/>
      <c r="F188" s="126"/>
      <c r="G188" s="126"/>
      <c r="H188" s="126"/>
    </row>
    <row r="189" spans="1:8">
      <c r="A189" s="326" t="s">
        <v>332</v>
      </c>
      <c r="B189" s="335">
        <v>3455.95947265625</v>
      </c>
      <c r="C189" s="126"/>
      <c r="D189" s="126"/>
      <c r="E189" s="126"/>
      <c r="F189" s="126"/>
      <c r="G189" s="126"/>
      <c r="H189" s="126"/>
    </row>
    <row r="190" spans="1:8">
      <c r="A190" s="326" t="s">
        <v>333</v>
      </c>
      <c r="B190" s="335">
        <v>-205.26258850097699</v>
      </c>
      <c r="C190" s="126"/>
      <c r="D190" s="126"/>
      <c r="E190" s="126"/>
      <c r="F190" s="126"/>
      <c r="G190" s="126"/>
      <c r="H190" s="126"/>
    </row>
    <row r="191" spans="1:8">
      <c r="A191" s="326" t="s">
        <v>334</v>
      </c>
      <c r="B191" s="335">
        <v>-1.6398773193359399</v>
      </c>
      <c r="C191" s="126"/>
      <c r="D191" s="126"/>
      <c r="E191" s="126"/>
      <c r="F191" s="126"/>
      <c r="G191" s="126"/>
      <c r="H191" s="126"/>
    </row>
    <row r="192" spans="1:8">
      <c r="A192" s="329" t="s">
        <v>335</v>
      </c>
      <c r="B192" s="336">
        <v>5.3953449241816998E-3</v>
      </c>
      <c r="C192" s="126"/>
      <c r="D192" s="127"/>
      <c r="E192" s="127"/>
      <c r="F192" s="126"/>
      <c r="G192" s="127"/>
      <c r="H192" s="127"/>
    </row>
    <row r="193" spans="1:6">
      <c r="A193" s="334" t="s">
        <v>336</v>
      </c>
      <c r="B193" s="337">
        <v>1703.92749023438</v>
      </c>
      <c r="C193" s="127"/>
      <c r="F193" s="127"/>
    </row>
  </sheetData>
  <mergeCells count="1">
    <mergeCell ref="A2:E2"/>
  </mergeCells>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64D-E221-4CA7-875A-15846E7DA3D2}">
  <sheetPr>
    <tabColor theme="3"/>
  </sheetPr>
  <dimension ref="A1:AA62"/>
  <sheetViews>
    <sheetView zoomScale="75" zoomScaleNormal="50" workbookViewId="0"/>
  </sheetViews>
  <sheetFormatPr defaultColWidth="9" defaultRowHeight="14.25"/>
  <cols>
    <col min="1" max="11" width="22.625" style="2" customWidth="1"/>
    <col min="12" max="12" width="24.875" style="2" customWidth="1"/>
    <col min="13" max="14" width="22.625" style="2" customWidth="1"/>
    <col min="15" max="15" width="32.625" style="2" customWidth="1"/>
    <col min="16" max="16" width="10.625" style="2" customWidth="1"/>
    <col min="17" max="17" width="11" style="2" customWidth="1"/>
    <col min="18" max="18" width="6.125" style="2" customWidth="1"/>
    <col min="19" max="19" width="10.5" style="2" customWidth="1"/>
    <col min="20" max="20" width="12.375" style="2" bestFit="1" customWidth="1"/>
    <col min="21" max="21" width="11.625" style="2" customWidth="1"/>
    <col min="22" max="22" width="9.625" style="2" customWidth="1"/>
    <col min="23" max="23" width="6.375" style="2" bestFit="1" customWidth="1"/>
    <col min="24" max="24" width="8.625" style="2"/>
    <col min="25" max="25" width="14.875" style="2" bestFit="1" customWidth="1"/>
    <col min="26" max="26" width="9.875" style="2" bestFit="1" customWidth="1"/>
    <col min="27" max="27" width="10.625" style="2" bestFit="1" customWidth="1"/>
    <col min="28" max="16384" width="9" style="3"/>
  </cols>
  <sheetData>
    <row r="1" spans="1:27" customFormat="1" ht="20.25">
      <c r="A1" s="183" t="s">
        <v>244</v>
      </c>
      <c r="B1" s="2"/>
      <c r="C1" s="2"/>
      <c r="D1" s="2"/>
      <c r="E1" s="2"/>
      <c r="F1" s="2"/>
      <c r="G1" s="2"/>
      <c r="H1" s="2"/>
      <c r="I1" s="2"/>
      <c r="J1" s="2"/>
      <c r="K1" s="2"/>
      <c r="L1" s="2"/>
      <c r="M1" s="2"/>
      <c r="N1" s="2"/>
      <c r="O1" s="2"/>
      <c r="P1" s="2"/>
      <c r="Q1" s="2"/>
      <c r="R1" s="2"/>
      <c r="S1" s="2"/>
      <c r="T1" s="2"/>
      <c r="U1" s="2"/>
      <c r="V1" s="2"/>
      <c r="W1" s="2"/>
      <c r="X1" s="2"/>
      <c r="Y1" s="2"/>
      <c r="Z1" s="2"/>
      <c r="AA1" s="2"/>
    </row>
    <row r="2" spans="1:27" customFormat="1">
      <c r="A2" s="1" t="str">
        <f>INFO!A2</f>
        <v>VM/HVO 18.12.2025</v>
      </c>
      <c r="B2" s="2"/>
      <c r="C2" s="2"/>
      <c r="D2" s="2"/>
      <c r="E2" s="2"/>
      <c r="F2" s="2"/>
      <c r="G2" s="2"/>
      <c r="H2" s="2"/>
      <c r="I2" s="2"/>
      <c r="J2" s="2"/>
      <c r="K2" s="2"/>
      <c r="L2" s="2"/>
      <c r="M2" s="2"/>
      <c r="N2" s="2"/>
      <c r="O2" s="2"/>
      <c r="P2" s="2"/>
      <c r="Q2" s="2"/>
      <c r="R2" s="2"/>
      <c r="S2" s="2"/>
      <c r="T2" s="2"/>
      <c r="U2" s="2"/>
      <c r="V2" s="2"/>
      <c r="W2" s="2"/>
      <c r="X2" s="2"/>
      <c r="Y2" s="2"/>
      <c r="Z2" s="2"/>
      <c r="AA2" s="2"/>
    </row>
    <row r="3" spans="1:27" customFormat="1" ht="39.6" customHeight="1">
      <c r="A3" s="563" t="s">
        <v>429</v>
      </c>
      <c r="B3" s="563"/>
      <c r="C3" s="563"/>
      <c r="D3" s="563"/>
      <c r="E3" s="563"/>
      <c r="F3" s="563"/>
      <c r="G3" s="278"/>
      <c r="H3" s="278"/>
      <c r="I3" s="2"/>
      <c r="J3" s="2"/>
      <c r="K3" s="2"/>
      <c r="L3" s="2"/>
      <c r="M3" s="2"/>
      <c r="N3" s="2"/>
      <c r="O3" s="2"/>
      <c r="P3" s="2"/>
      <c r="Q3" s="2"/>
      <c r="R3" s="2"/>
      <c r="S3" s="2"/>
      <c r="T3" s="2"/>
      <c r="U3" s="2"/>
      <c r="V3" s="2"/>
      <c r="W3" s="2"/>
      <c r="X3" s="2"/>
      <c r="Y3" s="2"/>
      <c r="Z3" s="2"/>
      <c r="AA3" s="2"/>
    </row>
    <row r="4" spans="1:27" customFormat="1">
      <c r="A4" s="120"/>
      <c r="B4" s="2"/>
      <c r="C4" s="2"/>
      <c r="D4" s="2"/>
      <c r="E4" s="2"/>
      <c r="F4" s="2"/>
      <c r="G4" s="2"/>
      <c r="H4" s="468"/>
      <c r="I4" s="2"/>
      <c r="J4" s="2"/>
      <c r="K4" s="2"/>
      <c r="L4" s="2"/>
      <c r="M4" s="2"/>
      <c r="N4" s="2"/>
      <c r="O4" s="2"/>
      <c r="P4" s="2"/>
      <c r="Q4" s="2"/>
      <c r="R4" s="2"/>
      <c r="S4" s="2"/>
      <c r="T4" s="2"/>
      <c r="U4" s="2"/>
      <c r="V4" s="2"/>
      <c r="W4" s="2"/>
      <c r="X4" s="2"/>
      <c r="Y4" s="2"/>
      <c r="Z4" s="2"/>
      <c r="AA4" s="2"/>
    </row>
    <row r="5" spans="1:27" s="282" customFormat="1" ht="18.95" customHeight="1" thickBot="1">
      <c r="A5" s="470" t="s">
        <v>243</v>
      </c>
      <c r="B5" s="279"/>
      <c r="C5" s="279"/>
      <c r="D5" s="279"/>
      <c r="E5" s="279"/>
      <c r="F5" s="280"/>
      <c r="G5" s="279"/>
      <c r="H5" s="281"/>
      <c r="I5" s="281"/>
      <c r="J5" s="281"/>
      <c r="K5" s="281"/>
      <c r="L5" s="281"/>
      <c r="M5" s="518"/>
      <c r="N5" s="518"/>
      <c r="O5" s="518"/>
      <c r="P5" s="518"/>
      <c r="Q5" s="518"/>
      <c r="R5" s="518"/>
      <c r="S5" s="518"/>
    </row>
    <row r="6" spans="1:27" s="286" customFormat="1" ht="72" customHeight="1">
      <c r="A6" s="469" t="s">
        <v>6</v>
      </c>
      <c r="B6" s="283" t="s">
        <v>7</v>
      </c>
      <c r="C6" s="283" t="s">
        <v>36</v>
      </c>
      <c r="D6" s="285" t="s">
        <v>416</v>
      </c>
      <c r="E6" s="285" t="s">
        <v>238</v>
      </c>
      <c r="F6" s="284" t="s">
        <v>239</v>
      </c>
      <c r="G6" s="544" t="s">
        <v>240</v>
      </c>
      <c r="H6" s="284" t="s">
        <v>405</v>
      </c>
      <c r="I6" s="190" t="s">
        <v>241</v>
      </c>
      <c r="J6" s="194" t="s">
        <v>242</v>
      </c>
      <c r="K6" s="530" t="s">
        <v>458</v>
      </c>
      <c r="L6" s="530" t="s">
        <v>478</v>
      </c>
      <c r="M6" s="519"/>
      <c r="N6" s="519"/>
      <c r="O6" s="519"/>
      <c r="P6" s="519"/>
      <c r="Q6" s="519"/>
      <c r="R6" s="519"/>
      <c r="S6" s="519"/>
    </row>
    <row r="7" spans="1:27" s="282" customFormat="1" ht="15">
      <c r="A7" s="287">
        <v>31</v>
      </c>
      <c r="B7" s="413" t="s">
        <v>14</v>
      </c>
      <c r="C7" s="288">
        <f>Määräytymistekijät!C8</f>
        <v>684018</v>
      </c>
      <c r="D7" s="289">
        <v>2951167484.5714469</v>
      </c>
      <c r="E7" s="289">
        <f>'SOTE laskennallinen rahoitus'!N54+'PELA laskennallinen rahoitus'!F49</f>
        <v>2971075209.4943962</v>
      </c>
      <c r="F7" s="290">
        <v>116897478.63716505</v>
      </c>
      <c r="G7" s="545">
        <f t="shared" ref="G7:G29" si="0">E7+F7</f>
        <v>3087972688.1315613</v>
      </c>
      <c r="H7" s="558">
        <f>'Jälkikäteistarkistus 2026'!$E$40*('SOTE laskennallinen rahoitus'!N54/'SOTE laskennallinen rahoitus'!$N$76)+'Jälkikäteistarkistus 2026'!$E$43*('PELA laskennallinen rahoitus'!F49/'PELA laskennallinen rahoitus'!$F$71)</f>
        <v>138633066.98978096</v>
      </c>
      <c r="I7" s="291">
        <f t="shared" ref="I7:I29" si="1">G7/C7</f>
        <v>4514.4611517994572</v>
      </c>
      <c r="J7" s="292">
        <f t="shared" ref="J7:J29" si="2">G7-D7</f>
        <v>136805203.56011438</v>
      </c>
      <c r="K7" s="288">
        <v>3083087234.1467757</v>
      </c>
      <c r="L7" s="289">
        <f>G7-K7</f>
        <v>4885453.9847855568</v>
      </c>
      <c r="M7" s="520"/>
      <c r="N7" s="562"/>
      <c r="O7" s="518"/>
      <c r="P7" s="518"/>
      <c r="Q7" s="518"/>
      <c r="R7" s="518"/>
      <c r="S7" s="518"/>
    </row>
    <row r="8" spans="1:27" s="282" customFormat="1" ht="15">
      <c r="A8" s="287">
        <v>32</v>
      </c>
      <c r="B8" s="413" t="s">
        <v>41</v>
      </c>
      <c r="C8" s="288">
        <f>Määräytymistekijät!C9</f>
        <v>289730</v>
      </c>
      <c r="D8" s="289">
        <v>1201112245.8544662</v>
      </c>
      <c r="E8" s="289">
        <f>'SOTE laskennallinen rahoitus'!N55+'PELA laskennallinen rahoitus'!F50</f>
        <v>1263353018.8375609</v>
      </c>
      <c r="F8" s="290">
        <v>0</v>
      </c>
      <c r="G8" s="545">
        <f t="shared" si="0"/>
        <v>1263353018.8375609</v>
      </c>
      <c r="H8" s="558">
        <f>'Jälkikäteistarkistus 2026'!$E$40*('SOTE laskennallinen rahoitus'!N55/'SOTE laskennallinen rahoitus'!$N$76)+'Jälkikäteistarkistus 2026'!$E$43*('PELA laskennallinen rahoitus'!F50/'PELA laskennallinen rahoitus'!$F$71)</f>
        <v>59085773.611516923</v>
      </c>
      <c r="I8" s="291">
        <f t="shared" si="1"/>
        <v>4360.4494489267972</v>
      </c>
      <c r="J8" s="292">
        <f t="shared" si="2"/>
        <v>62240772.983094692</v>
      </c>
      <c r="K8" s="288">
        <v>1261659134.9234107</v>
      </c>
      <c r="L8" s="289">
        <f t="shared" ref="L8:L28" si="3">G8-K8</f>
        <v>1693883.914150238</v>
      </c>
      <c r="M8" s="520"/>
      <c r="N8" s="562"/>
      <c r="O8" s="518"/>
      <c r="P8" s="518"/>
      <c r="Q8" s="518"/>
      <c r="R8" s="518"/>
      <c r="S8" s="518"/>
    </row>
    <row r="9" spans="1:27" s="282" customFormat="1" ht="15">
      <c r="A9" s="287">
        <v>33</v>
      </c>
      <c r="B9" s="413" t="s">
        <v>15</v>
      </c>
      <c r="C9" s="288">
        <f>Määräytymistekijät!C10</f>
        <v>502067</v>
      </c>
      <c r="D9" s="289">
        <v>1954281793.9045556</v>
      </c>
      <c r="E9" s="289">
        <f>'SOTE laskennallinen rahoitus'!N56+'PELA laskennallinen rahoitus'!F51</f>
        <v>2037887512.1740427</v>
      </c>
      <c r="F9" s="290">
        <v>-3375793.0115866666</v>
      </c>
      <c r="G9" s="545">
        <f t="shared" si="0"/>
        <v>2034511719.162456</v>
      </c>
      <c r="H9" s="558">
        <f>'Jälkikäteistarkistus 2026'!$E$40*('SOTE laskennallinen rahoitus'!N56/'SOTE laskennallinen rahoitus'!$N$76)+'Jälkikäteistarkistus 2026'!$E$43*('PELA laskennallinen rahoitus'!F51/'PELA laskennallinen rahoitus'!$F$71)</f>
        <v>95532234.850368664</v>
      </c>
      <c r="I9" s="291">
        <f t="shared" si="1"/>
        <v>4052.2713485699242</v>
      </c>
      <c r="J9" s="292">
        <f t="shared" si="2"/>
        <v>80229925.257900476</v>
      </c>
      <c r="K9" s="288">
        <v>2031625309.2435119</v>
      </c>
      <c r="L9" s="289">
        <f t="shared" si="3"/>
        <v>2886409.9189441204</v>
      </c>
      <c r="M9" s="520"/>
      <c r="N9" s="562"/>
      <c r="O9" s="518"/>
      <c r="P9" s="518"/>
      <c r="Q9" s="518"/>
      <c r="R9" s="518"/>
      <c r="S9" s="518"/>
    </row>
    <row r="10" spans="1:27" s="282" customFormat="1" ht="15">
      <c r="A10" s="287">
        <v>34</v>
      </c>
      <c r="B10" s="413" t="s">
        <v>16</v>
      </c>
      <c r="C10" s="288">
        <f>Määräytymistekijät!C11</f>
        <v>99415</v>
      </c>
      <c r="D10" s="289">
        <v>425398039.49145573</v>
      </c>
      <c r="E10" s="289">
        <f>'SOTE laskennallinen rahoitus'!N57+'PELA laskennallinen rahoitus'!F52</f>
        <v>459040866.35488105</v>
      </c>
      <c r="F10" s="290">
        <v>-21300403.995929066</v>
      </c>
      <c r="G10" s="545">
        <f t="shared" si="0"/>
        <v>437740462.35895199</v>
      </c>
      <c r="H10" s="558">
        <f>'Jälkikäteistarkistus 2026'!$E$40*('SOTE laskennallinen rahoitus'!N57/'SOTE laskennallinen rahoitus'!$N$76)+'Jälkikäteistarkistus 2026'!$E$43*('PELA laskennallinen rahoitus'!F52/'PELA laskennallinen rahoitus'!$F$71)</f>
        <v>21523780.249689132</v>
      </c>
      <c r="I10" s="291">
        <f t="shared" si="1"/>
        <v>4403.163127887663</v>
      </c>
      <c r="J10" s="292">
        <f t="shared" si="2"/>
        <v>12342422.867496252</v>
      </c>
      <c r="K10" s="288">
        <v>436917650.17298114</v>
      </c>
      <c r="L10" s="289">
        <f t="shared" si="3"/>
        <v>822812.18597084284</v>
      </c>
      <c r="M10" s="520"/>
      <c r="N10" s="562"/>
      <c r="O10" s="518"/>
      <c r="P10" s="518"/>
      <c r="Q10" s="518"/>
      <c r="R10" s="518"/>
      <c r="S10" s="518"/>
    </row>
    <row r="11" spans="1:27" s="282" customFormat="1" ht="15">
      <c r="A11" s="287">
        <v>35</v>
      </c>
      <c r="B11" s="413" t="s">
        <v>17</v>
      </c>
      <c r="C11" s="288">
        <f>Määräytymistekijät!C12</f>
        <v>207070</v>
      </c>
      <c r="D11" s="289">
        <v>860229994.81333494</v>
      </c>
      <c r="E11" s="289">
        <f>'SOTE laskennallinen rahoitus'!N58+'PELA laskennallinen rahoitus'!F53</f>
        <v>861950730.71720529</v>
      </c>
      <c r="F11" s="290">
        <v>17026331.026091814</v>
      </c>
      <c r="G11" s="545">
        <f t="shared" si="0"/>
        <v>878977061.7432971</v>
      </c>
      <c r="H11" s="558">
        <f>'Jälkikäteistarkistus 2026'!$E$40*('SOTE laskennallinen rahoitus'!N58/'SOTE laskennallinen rahoitus'!$N$76)+'Jälkikäteistarkistus 2026'!$E$43*('PELA laskennallinen rahoitus'!F53/'PELA laskennallinen rahoitus'!$F$71)</f>
        <v>40431426.189845815</v>
      </c>
      <c r="I11" s="291">
        <f t="shared" si="1"/>
        <v>4244.8305488158458</v>
      </c>
      <c r="J11" s="292">
        <f t="shared" si="2"/>
        <v>18747066.929962158</v>
      </c>
      <c r="K11" s="288">
        <v>877611171.86997378</v>
      </c>
      <c r="L11" s="289">
        <f t="shared" si="3"/>
        <v>1365889.8733233213</v>
      </c>
      <c r="M11" s="520"/>
      <c r="N11" s="562"/>
      <c r="O11" s="518"/>
      <c r="P11" s="518"/>
      <c r="Q11" s="518"/>
      <c r="R11" s="518"/>
      <c r="S11" s="518"/>
    </row>
    <row r="12" spans="1:27" s="282" customFormat="1" ht="15">
      <c r="A12" s="293">
        <v>2</v>
      </c>
      <c r="B12" s="413" t="s">
        <v>18</v>
      </c>
      <c r="C12" s="288">
        <f>Määräytymistekijät!C13</f>
        <v>494819</v>
      </c>
      <c r="D12" s="289">
        <v>2331399490.3209543</v>
      </c>
      <c r="E12" s="289">
        <f>'SOTE laskennallinen rahoitus'!N59+'PELA laskennallinen rahoitus'!F54</f>
        <v>2504077999.6559515</v>
      </c>
      <c r="F12" s="290">
        <v>-71562821.399128675</v>
      </c>
      <c r="G12" s="545">
        <f t="shared" si="0"/>
        <v>2432515178.2568226</v>
      </c>
      <c r="H12" s="558">
        <f>'Jälkikäteistarkistus 2026'!$E$40*('SOTE laskennallinen rahoitus'!N59/'SOTE laskennallinen rahoitus'!$N$76)+'Jälkikäteistarkistus 2026'!$E$43*('PELA laskennallinen rahoitus'!F54/'PELA laskennallinen rahoitus'!$F$71)</f>
        <v>117074446.13397686</v>
      </c>
      <c r="I12" s="291">
        <f t="shared" si="1"/>
        <v>4915.9696338596996</v>
      </c>
      <c r="J12" s="292">
        <f t="shared" si="2"/>
        <v>101115687.93586826</v>
      </c>
      <c r="K12" s="288">
        <v>2427646139.2048664</v>
      </c>
      <c r="L12" s="289">
        <f t="shared" si="3"/>
        <v>4869039.0519561768</v>
      </c>
      <c r="M12" s="520"/>
      <c r="N12" s="562"/>
      <c r="O12" s="518"/>
      <c r="P12" s="518"/>
      <c r="Q12" s="518"/>
      <c r="R12" s="518"/>
      <c r="S12" s="518"/>
    </row>
    <row r="13" spans="1:27" s="282" customFormat="1" ht="15">
      <c r="A13" s="293">
        <v>4</v>
      </c>
      <c r="B13" s="413" t="s">
        <v>19</v>
      </c>
      <c r="C13" s="288">
        <f>Määräytymistekijät!C14</f>
        <v>211261</v>
      </c>
      <c r="D13" s="289">
        <v>1071083938.9290737</v>
      </c>
      <c r="E13" s="289">
        <f>'SOTE laskennallinen rahoitus'!N60+'PELA laskennallinen rahoitus'!F55</f>
        <v>1068008312.3517504</v>
      </c>
      <c r="F13" s="290">
        <v>18931114.288122892</v>
      </c>
      <c r="G13" s="545">
        <f t="shared" si="0"/>
        <v>1086939426.6398733</v>
      </c>
      <c r="H13" s="558">
        <f>'Jälkikäteistarkistus 2026'!$E$40*('SOTE laskennallinen rahoitus'!N60/'SOTE laskennallinen rahoitus'!$N$76)+'Jälkikäteistarkistus 2026'!$E$43*('PELA laskennallinen rahoitus'!F55/'PELA laskennallinen rahoitus'!$F$71)</f>
        <v>50078589.652243547</v>
      </c>
      <c r="I13" s="291">
        <f t="shared" si="1"/>
        <v>5145.0074866628165</v>
      </c>
      <c r="J13" s="292">
        <f t="shared" si="2"/>
        <v>15855487.710799575</v>
      </c>
      <c r="K13" s="288">
        <v>1084702932.4855466</v>
      </c>
      <c r="L13" s="289">
        <f t="shared" si="3"/>
        <v>2236494.1543266773</v>
      </c>
      <c r="M13" s="520"/>
      <c r="N13" s="562"/>
      <c r="O13" s="518"/>
      <c r="P13" s="518"/>
      <c r="Q13" s="518"/>
      <c r="R13" s="518"/>
      <c r="S13" s="518"/>
    </row>
    <row r="14" spans="1:27" s="282" customFormat="1" ht="15">
      <c r="A14" s="293">
        <v>5</v>
      </c>
      <c r="B14" s="413" t="s">
        <v>20</v>
      </c>
      <c r="C14" s="288">
        <f>Määräytymistekijät!C15</f>
        <v>169455</v>
      </c>
      <c r="D14" s="289">
        <v>804329722.30501044</v>
      </c>
      <c r="E14" s="289">
        <f>'SOTE laskennallinen rahoitus'!N61+'PELA laskennallinen rahoitus'!F56</f>
        <v>836149902.88759577</v>
      </c>
      <c r="F14" s="290">
        <v>-7763981.3539030543</v>
      </c>
      <c r="G14" s="545">
        <f t="shared" si="0"/>
        <v>828385921.53369272</v>
      </c>
      <c r="H14" s="558">
        <f>'Jälkikäteistarkistus 2026'!$E$40*('SOTE laskennallinen rahoitus'!N61/'SOTE laskennallinen rahoitus'!$N$76)+'Jälkikäteistarkistus 2026'!$E$43*('PELA laskennallinen rahoitus'!F56/'PELA laskennallinen rahoitus'!$F$71)</f>
        <v>39114780.307249345</v>
      </c>
      <c r="I14" s="291">
        <f t="shared" si="1"/>
        <v>4888.5304153532961</v>
      </c>
      <c r="J14" s="292">
        <f t="shared" si="2"/>
        <v>24056199.22868228</v>
      </c>
      <c r="K14" s="288">
        <v>826680598.30550218</v>
      </c>
      <c r="L14" s="289">
        <f t="shared" si="3"/>
        <v>1705323.2281905413</v>
      </c>
      <c r="M14" s="520"/>
      <c r="N14" s="562"/>
      <c r="O14" s="518"/>
      <c r="P14" s="518"/>
      <c r="Q14" s="518"/>
      <c r="R14" s="518"/>
      <c r="S14" s="518"/>
    </row>
    <row r="15" spans="1:27" s="282" customFormat="1" ht="15">
      <c r="A15" s="293">
        <v>6</v>
      </c>
      <c r="B15" s="413" t="s">
        <v>21</v>
      </c>
      <c r="C15" s="288">
        <f>Määräytymistekijät!C16</f>
        <v>545406</v>
      </c>
      <c r="D15" s="289">
        <v>2508873524.2520428</v>
      </c>
      <c r="E15" s="289">
        <f>'SOTE laskennallinen rahoitus'!N62+'PELA laskennallinen rahoitus'!F57</f>
        <v>2582609832.1290555</v>
      </c>
      <c r="F15" s="290">
        <v>0</v>
      </c>
      <c r="G15" s="545">
        <f t="shared" si="0"/>
        <v>2582609832.1290555</v>
      </c>
      <c r="H15" s="558">
        <f>'Jälkikäteistarkistus 2026'!$E$40*('SOTE laskennallinen rahoitus'!N62/'SOTE laskennallinen rahoitus'!$N$76)+'Jälkikäteistarkistus 2026'!$E$43*('PELA laskennallinen rahoitus'!F57/'PELA laskennallinen rahoitus'!$F$71)</f>
        <v>120738841.75694227</v>
      </c>
      <c r="I15" s="291">
        <f t="shared" si="1"/>
        <v>4735.2061255817789</v>
      </c>
      <c r="J15" s="292">
        <f t="shared" si="2"/>
        <v>73736307.87701273</v>
      </c>
      <c r="K15" s="288">
        <v>2577763769.0484338</v>
      </c>
      <c r="L15" s="289">
        <f t="shared" si="3"/>
        <v>4846063.0806217194</v>
      </c>
      <c r="M15" s="520"/>
      <c r="N15" s="562"/>
      <c r="O15" s="518"/>
      <c r="P15" s="518"/>
      <c r="Q15" s="518"/>
      <c r="R15" s="518"/>
      <c r="S15" s="518"/>
    </row>
    <row r="16" spans="1:27" s="282" customFormat="1" ht="15">
      <c r="A16" s="293">
        <v>7</v>
      </c>
      <c r="B16" s="413" t="s">
        <v>22</v>
      </c>
      <c r="C16" s="288">
        <f>Määräytymistekijät!C17</f>
        <v>204635</v>
      </c>
      <c r="D16" s="289">
        <v>955002023.37775075</v>
      </c>
      <c r="E16" s="289">
        <f>'SOTE laskennallinen rahoitus'!N63+'PELA laskennallinen rahoitus'!F58</f>
        <v>1037779579.5422817</v>
      </c>
      <c r="F16" s="290">
        <v>-41485327.665901065</v>
      </c>
      <c r="G16" s="545">
        <f t="shared" si="0"/>
        <v>996294251.87638068</v>
      </c>
      <c r="H16" s="558">
        <f>'Jälkikäteistarkistus 2026'!$E$40*('SOTE laskennallinen rahoitus'!N63/'SOTE laskennallinen rahoitus'!$N$76)+'Jälkikäteistarkistus 2026'!$E$43*('PELA laskennallinen rahoitus'!F58/'PELA laskennallinen rahoitus'!$F$71)</f>
        <v>48522646.183620192</v>
      </c>
      <c r="I16" s="291">
        <f t="shared" si="1"/>
        <v>4868.6405154366585</v>
      </c>
      <c r="J16" s="292">
        <f t="shared" si="2"/>
        <v>41292228.498629928</v>
      </c>
      <c r="K16" s="288">
        <v>994173512.55939019</v>
      </c>
      <c r="L16" s="289">
        <f t="shared" si="3"/>
        <v>2120739.3169904947</v>
      </c>
      <c r="M16" s="520"/>
      <c r="N16" s="562"/>
      <c r="O16" s="518"/>
      <c r="P16" s="518"/>
      <c r="Q16" s="518"/>
      <c r="R16" s="518"/>
      <c r="S16" s="518"/>
    </row>
    <row r="17" spans="1:19" s="282" customFormat="1" ht="15">
      <c r="A17" s="293">
        <v>8</v>
      </c>
      <c r="B17" s="413" t="s">
        <v>23</v>
      </c>
      <c r="C17" s="288">
        <f>Määräytymistekijät!C18</f>
        <v>157442</v>
      </c>
      <c r="D17" s="289">
        <v>893465315.49569821</v>
      </c>
      <c r="E17" s="289">
        <f>'SOTE laskennallinen rahoitus'!N64+'PELA laskennallinen rahoitus'!F59</f>
        <v>862833063.0426414</v>
      </c>
      <c r="F17" s="290">
        <v>41185398.261614442</v>
      </c>
      <c r="G17" s="545">
        <f t="shared" si="0"/>
        <v>904018461.30425584</v>
      </c>
      <c r="H17" s="558">
        <f>'Jälkikäteistarkistus 2026'!$E$40*('SOTE laskennallinen rahoitus'!N64/'SOTE laskennallinen rahoitus'!$N$76)+'Jälkikäteistarkistus 2026'!$E$43*('PELA laskennallinen rahoitus'!F59/'PELA laskennallinen rahoitus'!$F$71)</f>
        <v>40392335.731892936</v>
      </c>
      <c r="I17" s="291">
        <f t="shared" si="1"/>
        <v>5741.9142370158906</v>
      </c>
      <c r="J17" s="292">
        <f t="shared" si="2"/>
        <v>10553145.80855763</v>
      </c>
      <c r="K17" s="288">
        <v>902011678.66891348</v>
      </c>
      <c r="L17" s="289">
        <f t="shared" si="3"/>
        <v>2006782.6353423595</v>
      </c>
      <c r="M17" s="520"/>
      <c r="N17" s="562"/>
      <c r="O17" s="518"/>
      <c r="P17" s="518"/>
      <c r="Q17" s="518"/>
      <c r="R17" s="518"/>
      <c r="S17" s="518"/>
    </row>
    <row r="18" spans="1:19" s="282" customFormat="1" ht="15">
      <c r="A18" s="293">
        <v>9</v>
      </c>
      <c r="B18" s="413" t="s">
        <v>24</v>
      </c>
      <c r="C18" s="288">
        <f>Määräytymistekijät!C19</f>
        <v>125083</v>
      </c>
      <c r="D18" s="289">
        <v>605456146.89935577</v>
      </c>
      <c r="E18" s="289">
        <f>'SOTE laskennallinen rahoitus'!N65+'PELA laskennallinen rahoitus'!F60</f>
        <v>611568535.78594041</v>
      </c>
      <c r="F18" s="290">
        <v>1974866.4205743074</v>
      </c>
      <c r="G18" s="545">
        <f t="shared" si="0"/>
        <v>613543402.20651472</v>
      </c>
      <c r="H18" s="558">
        <f>'Jälkikäteistarkistus 2026'!$E$40*('SOTE laskennallinen rahoitus'!N65/'SOTE laskennallinen rahoitus'!$N$76)+'Jälkikäteistarkistus 2026'!$E$43*('PELA laskennallinen rahoitus'!F60/'PELA laskennallinen rahoitus'!$F$71)</f>
        <v>28680819.759167232</v>
      </c>
      <c r="I18" s="291">
        <f t="shared" si="1"/>
        <v>4905.0902377342618</v>
      </c>
      <c r="J18" s="292">
        <f t="shared" si="2"/>
        <v>8087255.307158947</v>
      </c>
      <c r="K18" s="288">
        <v>612219831.38429213</v>
      </c>
      <c r="L18" s="289">
        <f t="shared" si="3"/>
        <v>1323570.8222225904</v>
      </c>
      <c r="M18" s="520"/>
      <c r="N18" s="562"/>
      <c r="O18" s="518"/>
      <c r="P18" s="518"/>
      <c r="Q18" s="518"/>
      <c r="R18" s="518"/>
      <c r="S18" s="518"/>
    </row>
    <row r="19" spans="1:19" s="282" customFormat="1" ht="15">
      <c r="A19" s="293">
        <v>10</v>
      </c>
      <c r="B19" s="413" t="s">
        <v>25</v>
      </c>
      <c r="C19" s="288">
        <f>Määräytymistekijät!C20</f>
        <v>129376</v>
      </c>
      <c r="D19" s="289">
        <v>757573076.06432676</v>
      </c>
      <c r="E19" s="289">
        <f>'SOTE laskennallinen rahoitus'!N66+'PELA laskennallinen rahoitus'!F61</f>
        <v>750101144.55864549</v>
      </c>
      <c r="F19" s="290">
        <v>33333804.959971186</v>
      </c>
      <c r="G19" s="545">
        <f t="shared" si="0"/>
        <v>783434949.51861668</v>
      </c>
      <c r="H19" s="558">
        <f>'Jälkikäteistarkistus 2026'!$E$40*('SOTE laskennallinen rahoitus'!N66/'SOTE laskennallinen rahoitus'!$N$76)+'Jälkikäteistarkistus 2026'!$E$43*('PELA laskennallinen rahoitus'!F61/'PELA laskennallinen rahoitus'!$F$71)</f>
        <v>35092396.702733882</v>
      </c>
      <c r="I19" s="291">
        <f t="shared" si="1"/>
        <v>6055.4890359774354</v>
      </c>
      <c r="J19" s="292">
        <f t="shared" si="2"/>
        <v>25861873.454289913</v>
      </c>
      <c r="K19" s="288">
        <v>781687463.57319248</v>
      </c>
      <c r="L19" s="289">
        <f t="shared" si="3"/>
        <v>1747485.9454241991</v>
      </c>
      <c r="M19" s="520"/>
      <c r="N19" s="562"/>
      <c r="O19" s="518"/>
      <c r="P19" s="518"/>
      <c r="Q19" s="518"/>
      <c r="R19" s="518"/>
      <c r="S19" s="518"/>
    </row>
    <row r="20" spans="1:19" s="282" customFormat="1" ht="15">
      <c r="A20" s="293">
        <v>11</v>
      </c>
      <c r="B20" s="413" t="s">
        <v>26</v>
      </c>
      <c r="C20" s="288">
        <f>Määräytymistekijät!C21</f>
        <v>248815</v>
      </c>
      <c r="D20" s="289">
        <v>1289048742.4380822</v>
      </c>
      <c r="E20" s="289">
        <f>'SOTE laskennallinen rahoitus'!N67+'PELA laskennallinen rahoitus'!F62</f>
        <v>1334028738.3732448</v>
      </c>
      <c r="F20" s="290">
        <v>-2328229.938293458</v>
      </c>
      <c r="G20" s="545">
        <f t="shared" si="0"/>
        <v>1331700508.4349513</v>
      </c>
      <c r="H20" s="558">
        <f>'Jälkikäteistarkistus 2026'!$E$40*('SOTE laskennallinen rahoitus'!N67/'SOTE laskennallinen rahoitus'!$N$76)+'Jälkikäteistarkistus 2026'!$E$43*('PELA laskennallinen rahoitus'!F62/'PELA laskennallinen rahoitus'!$F$71)</f>
        <v>62326986.147603609</v>
      </c>
      <c r="I20" s="291">
        <f t="shared" si="1"/>
        <v>5352.1713258242116</v>
      </c>
      <c r="J20" s="292">
        <f t="shared" si="2"/>
        <v>42651765.996869087</v>
      </c>
      <c r="K20" s="288">
        <v>1328983259.0729039</v>
      </c>
      <c r="L20" s="289">
        <f t="shared" si="3"/>
        <v>2717249.3620474339</v>
      </c>
      <c r="M20" s="520"/>
      <c r="N20" s="562"/>
      <c r="O20" s="518"/>
      <c r="P20" s="518"/>
      <c r="Q20" s="518"/>
      <c r="R20" s="518"/>
      <c r="S20" s="518"/>
    </row>
    <row r="21" spans="1:19" s="282" customFormat="1" ht="15">
      <c r="A21" s="293">
        <v>12</v>
      </c>
      <c r="B21" s="413" t="s">
        <v>27</v>
      </c>
      <c r="C21" s="288">
        <f>Määräytymistekijät!C22</f>
        <v>162091</v>
      </c>
      <c r="D21" s="289">
        <v>837451388.02451634</v>
      </c>
      <c r="E21" s="289">
        <f>'SOTE laskennallinen rahoitus'!N68+'PELA laskennallinen rahoitus'!F63</f>
        <v>935693882.75930762</v>
      </c>
      <c r="F21" s="290">
        <v>-55030667.798103213</v>
      </c>
      <c r="G21" s="545">
        <f t="shared" si="0"/>
        <v>880663214.96120441</v>
      </c>
      <c r="H21" s="558">
        <f>'Jälkikäteistarkistus 2026'!$E$40*('SOTE laskennallinen rahoitus'!N68/'SOTE laskennallinen rahoitus'!$N$76)+'Jälkikäteistarkistus 2026'!$E$43*('PELA laskennallinen rahoitus'!F63/'PELA laskennallinen rahoitus'!$F$71)</f>
        <v>43744532.677819684</v>
      </c>
      <c r="I21" s="291">
        <f t="shared" si="1"/>
        <v>5433.1407355201982</v>
      </c>
      <c r="J21" s="292">
        <f t="shared" si="2"/>
        <v>43211826.936688066</v>
      </c>
      <c r="K21" s="288">
        <v>878699619.8502717</v>
      </c>
      <c r="L21" s="289">
        <f t="shared" si="3"/>
        <v>1963595.1109327078</v>
      </c>
      <c r="M21" s="520"/>
      <c r="N21" s="562"/>
      <c r="O21" s="518"/>
      <c r="P21" s="518"/>
      <c r="Q21" s="518"/>
      <c r="R21" s="518"/>
      <c r="S21" s="518"/>
    </row>
    <row r="22" spans="1:19" s="282" customFormat="1" ht="15">
      <c r="A22" s="293">
        <v>13</v>
      </c>
      <c r="B22" s="413" t="s">
        <v>28</v>
      </c>
      <c r="C22" s="288">
        <f>Määräytymistekijät!C23</f>
        <v>274112</v>
      </c>
      <c r="D22" s="289">
        <v>1271292089.3122199</v>
      </c>
      <c r="E22" s="289">
        <f>'SOTE laskennallinen rahoitus'!N69+'PELA laskennallinen rahoitus'!F64</f>
        <v>1295477117.2023878</v>
      </c>
      <c r="F22" s="290">
        <v>14853928.090139389</v>
      </c>
      <c r="G22" s="545">
        <f t="shared" si="0"/>
        <v>1310331045.2925272</v>
      </c>
      <c r="H22" s="558">
        <f>'Jälkikäteistarkistus 2026'!$E$40*('SOTE laskennallinen rahoitus'!N69/'SOTE laskennallinen rahoitus'!$N$76)+'Jälkikäteistarkistus 2026'!$E$43*('PELA laskennallinen rahoitus'!F64/'PELA laskennallinen rahoitus'!$F$71)</f>
        <v>60672037.009533718</v>
      </c>
      <c r="I22" s="291">
        <f t="shared" si="1"/>
        <v>4780.276110832533</v>
      </c>
      <c r="J22" s="292">
        <f t="shared" si="2"/>
        <v>39038955.980307341</v>
      </c>
      <c r="K22" s="288">
        <v>1307799907.0353491</v>
      </c>
      <c r="L22" s="289">
        <f t="shared" si="3"/>
        <v>2531138.2571780682</v>
      </c>
      <c r="M22" s="520"/>
      <c r="N22" s="562"/>
      <c r="O22" s="518"/>
      <c r="P22" s="518"/>
      <c r="Q22" s="518"/>
      <c r="R22" s="518"/>
      <c r="S22" s="518"/>
    </row>
    <row r="23" spans="1:19" s="282" customFormat="1" ht="15">
      <c r="A23" s="293">
        <v>14</v>
      </c>
      <c r="B23" s="413" t="s">
        <v>29</v>
      </c>
      <c r="C23" s="288">
        <f>Määräytymistekijät!C24</f>
        <v>189929</v>
      </c>
      <c r="D23" s="289">
        <v>964908484.45267868</v>
      </c>
      <c r="E23" s="289">
        <f>'SOTE laskennallinen rahoitus'!N70+'PELA laskennallinen rahoitus'!F65</f>
        <v>1014477957.6732956</v>
      </c>
      <c r="F23" s="290">
        <v>0</v>
      </c>
      <c r="G23" s="545">
        <f t="shared" si="0"/>
        <v>1014477957.6732956</v>
      </c>
      <c r="H23" s="558">
        <f>'Jälkikäteistarkistus 2026'!$E$40*('SOTE laskennallinen rahoitus'!N70/'SOTE laskennallinen rahoitus'!$N$76)+'Jälkikäteistarkistus 2026'!$E$43*('PELA laskennallinen rahoitus'!F65/'PELA laskennallinen rahoitus'!$F$71)</f>
        <v>47485093.976651676</v>
      </c>
      <c r="I23" s="291">
        <f t="shared" si="1"/>
        <v>5341.3536514871112</v>
      </c>
      <c r="J23" s="292">
        <f t="shared" si="2"/>
        <v>49569473.220616937</v>
      </c>
      <c r="K23" s="288">
        <v>1012268796.9904723</v>
      </c>
      <c r="L23" s="289">
        <f t="shared" si="3"/>
        <v>2209160.6828233004</v>
      </c>
      <c r="M23" s="520"/>
      <c r="N23" s="562"/>
      <c r="O23" s="518"/>
      <c r="P23" s="518"/>
      <c r="Q23" s="518"/>
      <c r="R23" s="518"/>
      <c r="S23" s="518"/>
    </row>
    <row r="24" spans="1:19" s="282" customFormat="1" ht="15">
      <c r="A24" s="293">
        <v>15</v>
      </c>
      <c r="B24" s="413" t="s">
        <v>30</v>
      </c>
      <c r="C24" s="288">
        <f>Määräytymistekijät!C25</f>
        <v>178749</v>
      </c>
      <c r="D24" s="289">
        <v>843208376.07363176</v>
      </c>
      <c r="E24" s="289">
        <f>'SOTE laskennallinen rahoitus'!N71+'PELA laskennallinen rahoitus'!F66</f>
        <v>851318591.36793375</v>
      </c>
      <c r="F24" s="290">
        <v>11592344.928301096</v>
      </c>
      <c r="G24" s="545">
        <f t="shared" si="0"/>
        <v>862910936.29623485</v>
      </c>
      <c r="H24" s="558">
        <f>'Jälkikäteistarkistus 2026'!$E$40*('SOTE laskennallinen rahoitus'!N71/'SOTE laskennallinen rahoitus'!$N$76)+'Jälkikäteistarkistus 2026'!$E$43*('PELA laskennallinen rahoitus'!F66/'PELA laskennallinen rahoitus'!$F$71)</f>
        <v>39933075.070481144</v>
      </c>
      <c r="I24" s="291">
        <f t="shared" si="1"/>
        <v>4827.5007764867769</v>
      </c>
      <c r="J24" s="292">
        <f t="shared" si="2"/>
        <v>19702560.222603083</v>
      </c>
      <c r="K24" s="288">
        <v>861374000.91135538</v>
      </c>
      <c r="L24" s="289">
        <f t="shared" si="3"/>
        <v>1536935.3848794699</v>
      </c>
      <c r="M24" s="520"/>
      <c r="N24" s="562"/>
      <c r="O24" s="518"/>
      <c r="P24" s="518"/>
      <c r="Q24" s="518"/>
      <c r="R24" s="518"/>
      <c r="S24" s="518"/>
    </row>
    <row r="25" spans="1:19" s="282" customFormat="1" ht="15">
      <c r="A25" s="293">
        <v>16</v>
      </c>
      <c r="B25" s="413" t="s">
        <v>31</v>
      </c>
      <c r="C25" s="288">
        <f>Määräytymistekijät!C26</f>
        <v>67723</v>
      </c>
      <c r="D25" s="289">
        <v>333390549.93616205</v>
      </c>
      <c r="E25" s="289">
        <f>'SOTE laskennallinen rahoitus'!N72+'PELA laskennallinen rahoitus'!F67</f>
        <v>358184527.9256978</v>
      </c>
      <c r="F25" s="290">
        <v>-14323106.953637004</v>
      </c>
      <c r="G25" s="545">
        <f t="shared" si="0"/>
        <v>343861420.9720608</v>
      </c>
      <c r="H25" s="558">
        <f>'Jälkikäteistarkistus 2026'!$E$40*('SOTE laskennallinen rahoitus'!N72/'SOTE laskennallinen rahoitus'!$N$76)+'Jälkikäteistarkistus 2026'!$E$43*('PELA laskennallinen rahoitus'!F67/'PELA laskennallinen rahoitus'!$F$71)</f>
        <v>16760813.702128176</v>
      </c>
      <c r="I25" s="291">
        <f t="shared" si="1"/>
        <v>5077.4688211104176</v>
      </c>
      <c r="J25" s="292">
        <f t="shared" si="2"/>
        <v>10470871.035898745</v>
      </c>
      <c r="K25" s="288">
        <v>343136250.86711144</v>
      </c>
      <c r="L25" s="289">
        <f t="shared" si="3"/>
        <v>725170.10494935513</v>
      </c>
      <c r="M25" s="520"/>
      <c r="N25" s="562"/>
      <c r="O25" s="518"/>
      <c r="P25" s="518"/>
      <c r="Q25" s="518"/>
      <c r="R25" s="518"/>
      <c r="S25" s="518"/>
    </row>
    <row r="26" spans="1:19" s="282" customFormat="1" ht="15">
      <c r="A26" s="293">
        <v>17</v>
      </c>
      <c r="B26" s="413" t="s">
        <v>32</v>
      </c>
      <c r="C26" s="288">
        <f>Määräytymistekijät!C27</f>
        <v>418331</v>
      </c>
      <c r="D26" s="289">
        <v>1980334066.9226801</v>
      </c>
      <c r="E26" s="289">
        <f>'SOTE laskennallinen rahoitus'!N73+'PELA laskennallinen rahoitus'!F68</f>
        <v>2069747339.6193829</v>
      </c>
      <c r="F26" s="290">
        <v>-17871925.246083975</v>
      </c>
      <c r="G26" s="545">
        <f t="shared" si="0"/>
        <v>2051875414.3732989</v>
      </c>
      <c r="H26" s="558">
        <f>'Jälkikäteistarkistus 2026'!$E$40*('SOTE laskennallinen rahoitus'!N73/'SOTE laskennallinen rahoitus'!$N$76)+'Jälkikäteistarkistus 2026'!$E$43*('PELA laskennallinen rahoitus'!F68/'PELA laskennallinen rahoitus'!$F$71)</f>
        <v>96920870.009413272</v>
      </c>
      <c r="I26" s="291">
        <f t="shared" si="1"/>
        <v>4904.9088266786321</v>
      </c>
      <c r="J26" s="292">
        <f t="shared" si="2"/>
        <v>71541347.450618744</v>
      </c>
      <c r="K26" s="288">
        <v>2048147765.8539968</v>
      </c>
      <c r="L26" s="289">
        <f t="shared" si="3"/>
        <v>3727648.5193021297</v>
      </c>
      <c r="M26" s="520"/>
      <c r="N26" s="562"/>
      <c r="O26" s="518"/>
      <c r="P26" s="518"/>
      <c r="Q26" s="518"/>
      <c r="R26" s="518"/>
      <c r="S26" s="518"/>
    </row>
    <row r="27" spans="1:19" s="282" customFormat="1" ht="15">
      <c r="A27" s="293">
        <v>18</v>
      </c>
      <c r="B27" s="413" t="s">
        <v>33</v>
      </c>
      <c r="C27" s="288">
        <f>Määräytymistekijät!C28</f>
        <v>69639</v>
      </c>
      <c r="D27" s="289">
        <v>403909394.42135143</v>
      </c>
      <c r="E27" s="289">
        <f>'SOTE laskennallinen rahoitus'!N74+'PELA laskennallinen rahoitus'!F69</f>
        <v>416088333.19403893</v>
      </c>
      <c r="F27" s="290">
        <v>-44524.937106132696</v>
      </c>
      <c r="G27" s="545">
        <f t="shared" si="0"/>
        <v>416043808.2569328</v>
      </c>
      <c r="H27" s="558">
        <f>'Jälkikäteistarkistus 2026'!$E$40*('SOTE laskennallinen rahoitus'!N74/'SOTE laskennallinen rahoitus'!$N$76)+'Jälkikäteistarkistus 2026'!$E$43*('PELA laskennallinen rahoitus'!F69/'PELA laskennallinen rahoitus'!$F$71)</f>
        <v>19500653.491052922</v>
      </c>
      <c r="I27" s="291">
        <f t="shared" si="1"/>
        <v>5974.2932589056818</v>
      </c>
      <c r="J27" s="292">
        <f t="shared" si="2"/>
        <v>12134413.835581362</v>
      </c>
      <c r="K27" s="288">
        <v>415131408.08261621</v>
      </c>
      <c r="L27" s="289">
        <f t="shared" si="3"/>
        <v>912400.17431658506</v>
      </c>
      <c r="M27" s="520"/>
      <c r="N27" s="562"/>
      <c r="O27" s="518"/>
      <c r="P27" s="518"/>
      <c r="Q27" s="518"/>
      <c r="R27" s="518"/>
      <c r="S27" s="518"/>
    </row>
    <row r="28" spans="1:19" s="282" customFormat="1" ht="15">
      <c r="A28" s="293">
        <v>19</v>
      </c>
      <c r="B28" s="413" t="s">
        <v>34</v>
      </c>
      <c r="C28" s="288">
        <f>Määräytymistekijät!C29</f>
        <v>176151</v>
      </c>
      <c r="D28" s="289">
        <v>1009198513.4020054</v>
      </c>
      <c r="E28" s="289">
        <f>'SOTE laskennallinen rahoitus'!N75+'PELA laskennallinen rahoitus'!F70</f>
        <v>1093207046.3780901</v>
      </c>
      <c r="F28" s="290">
        <v>-45616246.277152658</v>
      </c>
      <c r="G28" s="545">
        <f t="shared" si="0"/>
        <v>1047590800.1009375</v>
      </c>
      <c r="H28" s="558">
        <f>'Jälkikäteistarkistus 2026'!$E$40*('SOTE laskennallinen rahoitus'!N75/'SOTE laskennallinen rahoitus'!$N$76)+'Jälkikäteistarkistus 2026'!$E$43*('PELA laskennallinen rahoitus'!F70/'PELA laskennallinen rahoitus'!$F$71)</f>
        <v>51326496.609925561</v>
      </c>
      <c r="I28" s="291">
        <f t="shared" si="1"/>
        <v>5947.1180981143307</v>
      </c>
      <c r="J28" s="292">
        <f t="shared" si="2"/>
        <v>38392286.698932052</v>
      </c>
      <c r="K28" s="288">
        <v>1045524045.8096164</v>
      </c>
      <c r="L28" s="289">
        <f t="shared" si="3"/>
        <v>2066754.2913210392</v>
      </c>
      <c r="M28" s="520"/>
      <c r="N28" s="562"/>
      <c r="O28" s="518"/>
      <c r="P28" s="518"/>
      <c r="Q28" s="518"/>
      <c r="R28" s="518"/>
      <c r="S28" s="518"/>
    </row>
    <row r="29" spans="1:19" s="282" customFormat="1" ht="15.75" thickBot="1">
      <c r="A29" s="294"/>
      <c r="B29" s="413" t="s">
        <v>35</v>
      </c>
      <c r="C29" s="450">
        <f>Määräytymistekijät!C30</f>
        <v>5605317</v>
      </c>
      <c r="D29" s="108">
        <v>26252114401.262802</v>
      </c>
      <c r="E29" s="108">
        <f>'SOTE laskennallinen rahoitus'!N76+'PELA laskennallinen rahoitus'!F71</f>
        <v>27214659242.025326</v>
      </c>
      <c r="F29" s="295">
        <v>-24907761.964844778</v>
      </c>
      <c r="G29" s="546">
        <f t="shared" si="0"/>
        <v>27189751480.060482</v>
      </c>
      <c r="H29" s="559">
        <f>SUM(H7:H28)</f>
        <v>1273571696.8136375</v>
      </c>
      <c r="I29" s="296">
        <f t="shared" si="1"/>
        <v>4850.7071910581471</v>
      </c>
      <c r="J29" s="297">
        <f t="shared" si="2"/>
        <v>937637078.7976799</v>
      </c>
      <c r="K29" s="450">
        <v>27138851480.060482</v>
      </c>
      <c r="L29" s="108">
        <f>G29-K29</f>
        <v>50900000</v>
      </c>
      <c r="M29" s="520"/>
      <c r="N29" s="562"/>
      <c r="O29" s="518"/>
      <c r="P29" s="518"/>
      <c r="Q29" s="518"/>
      <c r="R29" s="518"/>
      <c r="S29" s="518"/>
    </row>
    <row r="30" spans="1:19" s="2" customFormat="1" ht="15">
      <c r="C30" s="298"/>
      <c r="D30" s="298"/>
      <c r="E30" s="298"/>
      <c r="F30" s="298"/>
      <c r="G30" s="298"/>
      <c r="H30" s="298"/>
      <c r="I30" s="298"/>
      <c r="J30" s="298"/>
      <c r="K30" s="531"/>
      <c r="L30" s="532"/>
    </row>
    <row r="31" spans="1:19" s="2" customFormat="1">
      <c r="C31" s="298"/>
      <c r="D31" s="298"/>
      <c r="E31" s="298"/>
      <c r="F31" s="298"/>
      <c r="G31" s="298"/>
      <c r="H31" s="298"/>
      <c r="I31" s="298"/>
      <c r="J31" s="298"/>
      <c r="K31" s="298"/>
      <c r="L31" s="298"/>
    </row>
    <row r="32" spans="1:19" s="2" customFormat="1" ht="20.25" thickBot="1">
      <c r="A32" s="561" t="s">
        <v>471</v>
      </c>
      <c r="B32" s="533"/>
      <c r="C32" s="533"/>
      <c r="D32" s="533"/>
      <c r="E32" s="534"/>
      <c r="F32" s="533"/>
      <c r="G32" s="533"/>
      <c r="H32" s="533"/>
      <c r="I32" s="533"/>
      <c r="J32" s="535"/>
      <c r="K32" s="536"/>
      <c r="L32" s="536"/>
      <c r="M32" s="536"/>
      <c r="N32" s="536"/>
      <c r="O32" s="536"/>
    </row>
    <row r="33" spans="1:15" s="2" customFormat="1" ht="15.75" thickTop="1">
      <c r="A33" s="537" t="s">
        <v>6</v>
      </c>
      <c r="B33" s="283" t="s">
        <v>7</v>
      </c>
      <c r="C33" s="538" t="s">
        <v>459</v>
      </c>
      <c r="D33" s="538" t="s">
        <v>460</v>
      </c>
      <c r="E33" s="538" t="s">
        <v>461</v>
      </c>
      <c r="F33" s="538" t="s">
        <v>462</v>
      </c>
      <c r="G33" s="538" t="s">
        <v>463</v>
      </c>
      <c r="H33" s="538" t="s">
        <v>464</v>
      </c>
      <c r="I33" s="538" t="s">
        <v>465</v>
      </c>
      <c r="J33" s="538" t="s">
        <v>466</v>
      </c>
      <c r="K33" s="538" t="s">
        <v>467</v>
      </c>
      <c r="L33" s="538" t="s">
        <v>468</v>
      </c>
      <c r="M33" s="538" t="s">
        <v>469</v>
      </c>
      <c r="N33" s="538" t="s">
        <v>470</v>
      </c>
      <c r="O33" s="538" t="s">
        <v>472</v>
      </c>
    </row>
    <row r="34" spans="1:15" s="2" customFormat="1" ht="15">
      <c r="A34" s="287">
        <v>31</v>
      </c>
      <c r="B34" s="539" t="s">
        <v>14</v>
      </c>
      <c r="C34" s="542">
        <f>G7*2/12</f>
        <v>514662114.68859357</v>
      </c>
      <c r="D34" s="543">
        <f>$G7*8/120</f>
        <v>205864845.87543741</v>
      </c>
      <c r="E34" s="543">
        <f t="shared" ref="E34:G34" si="4">$G7*8/120</f>
        <v>205864845.87543741</v>
      </c>
      <c r="F34" s="543">
        <f t="shared" si="4"/>
        <v>205864845.87543741</v>
      </c>
      <c r="G34" s="543">
        <f t="shared" si="4"/>
        <v>205864845.87543741</v>
      </c>
      <c r="H34" s="542">
        <f>G7*2/12</f>
        <v>514662114.68859357</v>
      </c>
      <c r="I34" s="543">
        <f t="shared" ref="I34:N34" si="5">$G7*8/120</f>
        <v>205864845.87543741</v>
      </c>
      <c r="J34" s="543">
        <f t="shared" si="5"/>
        <v>205864845.87543741</v>
      </c>
      <c r="K34" s="543">
        <f t="shared" si="5"/>
        <v>205864845.87543741</v>
      </c>
      <c r="L34" s="543">
        <f t="shared" si="5"/>
        <v>205864845.87543741</v>
      </c>
      <c r="M34" s="543">
        <f t="shared" si="5"/>
        <v>205864845.87543741</v>
      </c>
      <c r="N34" s="543">
        <f t="shared" si="5"/>
        <v>205864845.87543741</v>
      </c>
      <c r="O34" s="543">
        <f>SUM(C34:N34)</f>
        <v>3087972688.1315608</v>
      </c>
    </row>
    <row r="35" spans="1:15" s="2" customFormat="1" ht="15">
      <c r="A35" s="287">
        <v>32</v>
      </c>
      <c r="B35" s="539" t="s">
        <v>41</v>
      </c>
      <c r="C35" s="542">
        <f t="shared" ref="C35:C55" si="6">G8*2/12</f>
        <v>210558836.47292683</v>
      </c>
      <c r="D35" s="543">
        <f t="shared" ref="D35:G35" si="7">$G8*8/120</f>
        <v>84223534.589170724</v>
      </c>
      <c r="E35" s="543">
        <f t="shared" si="7"/>
        <v>84223534.589170724</v>
      </c>
      <c r="F35" s="543">
        <f t="shared" si="7"/>
        <v>84223534.589170724</v>
      </c>
      <c r="G35" s="543">
        <f t="shared" si="7"/>
        <v>84223534.589170724</v>
      </c>
      <c r="H35" s="542">
        <f t="shared" ref="H35:H55" si="8">G8*2/12</f>
        <v>210558836.47292683</v>
      </c>
      <c r="I35" s="543">
        <f t="shared" ref="I35:N35" si="9">$G8*8/120</f>
        <v>84223534.589170724</v>
      </c>
      <c r="J35" s="543">
        <f t="shared" si="9"/>
        <v>84223534.589170724</v>
      </c>
      <c r="K35" s="543">
        <f t="shared" si="9"/>
        <v>84223534.589170724</v>
      </c>
      <c r="L35" s="543">
        <f t="shared" si="9"/>
        <v>84223534.589170724</v>
      </c>
      <c r="M35" s="543">
        <f t="shared" si="9"/>
        <v>84223534.589170724</v>
      </c>
      <c r="N35" s="543">
        <f t="shared" si="9"/>
        <v>84223534.589170724</v>
      </c>
      <c r="O35" s="543">
        <f t="shared" ref="O35:O55" si="10">SUM(C35:N35)</f>
        <v>1263353018.8375607</v>
      </c>
    </row>
    <row r="36" spans="1:15" s="2" customFormat="1" ht="15">
      <c r="A36" s="287">
        <v>33</v>
      </c>
      <c r="B36" s="539" t="s">
        <v>15</v>
      </c>
      <c r="C36" s="542">
        <f t="shared" si="6"/>
        <v>339085286.52707601</v>
      </c>
      <c r="D36" s="543">
        <f t="shared" ref="D36:G36" si="11">$G9*8/120</f>
        <v>135634114.6108304</v>
      </c>
      <c r="E36" s="543">
        <f t="shared" si="11"/>
        <v>135634114.6108304</v>
      </c>
      <c r="F36" s="543">
        <f t="shared" si="11"/>
        <v>135634114.6108304</v>
      </c>
      <c r="G36" s="543">
        <f t="shared" si="11"/>
        <v>135634114.6108304</v>
      </c>
      <c r="H36" s="542">
        <f t="shared" si="8"/>
        <v>339085286.52707601</v>
      </c>
      <c r="I36" s="543">
        <f t="shared" ref="I36:N36" si="12">$G9*8/120</f>
        <v>135634114.6108304</v>
      </c>
      <c r="J36" s="543">
        <f t="shared" si="12"/>
        <v>135634114.6108304</v>
      </c>
      <c r="K36" s="543">
        <f t="shared" si="12"/>
        <v>135634114.6108304</v>
      </c>
      <c r="L36" s="543">
        <f t="shared" si="12"/>
        <v>135634114.6108304</v>
      </c>
      <c r="M36" s="543">
        <f t="shared" si="12"/>
        <v>135634114.6108304</v>
      </c>
      <c r="N36" s="543">
        <f t="shared" si="12"/>
        <v>135634114.6108304</v>
      </c>
      <c r="O36" s="543">
        <f t="shared" si="10"/>
        <v>2034511719.1624556</v>
      </c>
    </row>
    <row r="37" spans="1:15" s="2" customFormat="1" ht="15">
      <c r="A37" s="287">
        <v>34</v>
      </c>
      <c r="B37" s="539" t="s">
        <v>16</v>
      </c>
      <c r="C37" s="542">
        <f t="shared" si="6"/>
        <v>72956743.726492003</v>
      </c>
      <c r="D37" s="543">
        <f t="shared" ref="D37:G37" si="13">$G10*8/120</f>
        <v>29182697.490596797</v>
      </c>
      <c r="E37" s="543">
        <f t="shared" si="13"/>
        <v>29182697.490596797</v>
      </c>
      <c r="F37" s="543">
        <f t="shared" si="13"/>
        <v>29182697.490596797</v>
      </c>
      <c r="G37" s="543">
        <f t="shared" si="13"/>
        <v>29182697.490596797</v>
      </c>
      <c r="H37" s="542">
        <f t="shared" si="8"/>
        <v>72956743.726492003</v>
      </c>
      <c r="I37" s="543">
        <f t="shared" ref="I37:N37" si="14">$G10*8/120</f>
        <v>29182697.490596797</v>
      </c>
      <c r="J37" s="543">
        <f t="shared" si="14"/>
        <v>29182697.490596797</v>
      </c>
      <c r="K37" s="543">
        <f t="shared" si="14"/>
        <v>29182697.490596797</v>
      </c>
      <c r="L37" s="543">
        <f t="shared" si="14"/>
        <v>29182697.490596797</v>
      </c>
      <c r="M37" s="543">
        <f t="shared" si="14"/>
        <v>29182697.490596797</v>
      </c>
      <c r="N37" s="543">
        <f t="shared" si="14"/>
        <v>29182697.490596797</v>
      </c>
      <c r="O37" s="543">
        <f t="shared" si="10"/>
        <v>437740462.35895181</v>
      </c>
    </row>
    <row r="38" spans="1:15" s="2" customFormat="1" ht="15">
      <c r="A38" s="287">
        <v>35</v>
      </c>
      <c r="B38" s="539" t="s">
        <v>17</v>
      </c>
      <c r="C38" s="542">
        <f t="shared" si="6"/>
        <v>146496176.95721617</v>
      </c>
      <c r="D38" s="543">
        <f t="shared" ref="D38:G38" si="15">$G11*8/120</f>
        <v>58598470.782886475</v>
      </c>
      <c r="E38" s="543">
        <f t="shared" si="15"/>
        <v>58598470.782886475</v>
      </c>
      <c r="F38" s="543">
        <f t="shared" si="15"/>
        <v>58598470.782886475</v>
      </c>
      <c r="G38" s="543">
        <f t="shared" si="15"/>
        <v>58598470.782886475</v>
      </c>
      <c r="H38" s="542">
        <f t="shared" si="8"/>
        <v>146496176.95721617</v>
      </c>
      <c r="I38" s="543">
        <f t="shared" ref="I38:N38" si="16">$G11*8/120</f>
        <v>58598470.782886475</v>
      </c>
      <c r="J38" s="543">
        <f t="shared" si="16"/>
        <v>58598470.782886475</v>
      </c>
      <c r="K38" s="543">
        <f t="shared" si="16"/>
        <v>58598470.782886475</v>
      </c>
      <c r="L38" s="543">
        <f t="shared" si="16"/>
        <v>58598470.782886475</v>
      </c>
      <c r="M38" s="543">
        <f t="shared" si="16"/>
        <v>58598470.782886475</v>
      </c>
      <c r="N38" s="543">
        <f t="shared" si="16"/>
        <v>58598470.782886475</v>
      </c>
      <c r="O38" s="543">
        <f t="shared" si="10"/>
        <v>878977061.74329722</v>
      </c>
    </row>
    <row r="39" spans="1:15" s="2" customFormat="1" ht="15">
      <c r="A39" s="293">
        <v>2</v>
      </c>
      <c r="B39" s="539" t="s">
        <v>18</v>
      </c>
      <c r="C39" s="542">
        <f t="shared" si="6"/>
        <v>405419196.37613708</v>
      </c>
      <c r="D39" s="543">
        <f t="shared" ref="D39:G39" si="17">$G12*8/120</f>
        <v>162167678.55045483</v>
      </c>
      <c r="E39" s="543">
        <f t="shared" si="17"/>
        <v>162167678.55045483</v>
      </c>
      <c r="F39" s="543">
        <f t="shared" si="17"/>
        <v>162167678.55045483</v>
      </c>
      <c r="G39" s="543">
        <f t="shared" si="17"/>
        <v>162167678.55045483</v>
      </c>
      <c r="H39" s="542">
        <f t="shared" si="8"/>
        <v>405419196.37613708</v>
      </c>
      <c r="I39" s="543">
        <f t="shared" ref="I39:N39" si="18">$G12*8/120</f>
        <v>162167678.55045483</v>
      </c>
      <c r="J39" s="543">
        <f t="shared" si="18"/>
        <v>162167678.55045483</v>
      </c>
      <c r="K39" s="543">
        <f t="shared" si="18"/>
        <v>162167678.55045483</v>
      </c>
      <c r="L39" s="543">
        <f t="shared" si="18"/>
        <v>162167678.55045483</v>
      </c>
      <c r="M39" s="543">
        <f t="shared" si="18"/>
        <v>162167678.55045483</v>
      </c>
      <c r="N39" s="543">
        <f t="shared" si="18"/>
        <v>162167678.55045483</v>
      </c>
      <c r="O39" s="543">
        <f t="shared" si="10"/>
        <v>2432515178.2568221</v>
      </c>
    </row>
    <row r="40" spans="1:15" s="2" customFormat="1" ht="15">
      <c r="A40" s="293">
        <v>4</v>
      </c>
      <c r="B40" s="539" t="s">
        <v>19</v>
      </c>
      <c r="C40" s="542">
        <f t="shared" si="6"/>
        <v>181156571.10664555</v>
      </c>
      <c r="D40" s="543">
        <f t="shared" ref="D40:G40" si="19">$G13*8/120</f>
        <v>72462628.442658216</v>
      </c>
      <c r="E40" s="543">
        <f t="shared" si="19"/>
        <v>72462628.442658216</v>
      </c>
      <c r="F40" s="543">
        <f t="shared" si="19"/>
        <v>72462628.442658216</v>
      </c>
      <c r="G40" s="543">
        <f t="shared" si="19"/>
        <v>72462628.442658216</v>
      </c>
      <c r="H40" s="542">
        <f t="shared" si="8"/>
        <v>181156571.10664555</v>
      </c>
      <c r="I40" s="543">
        <f t="shared" ref="I40:N40" si="20">$G13*8/120</f>
        <v>72462628.442658216</v>
      </c>
      <c r="J40" s="543">
        <f t="shared" si="20"/>
        <v>72462628.442658216</v>
      </c>
      <c r="K40" s="543">
        <f t="shared" si="20"/>
        <v>72462628.442658216</v>
      </c>
      <c r="L40" s="543">
        <f t="shared" si="20"/>
        <v>72462628.442658216</v>
      </c>
      <c r="M40" s="543">
        <f t="shared" si="20"/>
        <v>72462628.442658216</v>
      </c>
      <c r="N40" s="543">
        <f t="shared" si="20"/>
        <v>72462628.442658216</v>
      </c>
      <c r="O40" s="543">
        <f t="shared" si="10"/>
        <v>1086939426.639873</v>
      </c>
    </row>
    <row r="41" spans="1:15" s="2" customFormat="1" ht="15">
      <c r="A41" s="293">
        <v>5</v>
      </c>
      <c r="B41" s="539" t="s">
        <v>20</v>
      </c>
      <c r="C41" s="542">
        <f t="shared" si="6"/>
        <v>138064320.25561544</v>
      </c>
      <c r="D41" s="543">
        <f t="shared" ref="D41:G41" si="21">$G14*8/120</f>
        <v>55225728.10224618</v>
      </c>
      <c r="E41" s="543">
        <f t="shared" si="21"/>
        <v>55225728.10224618</v>
      </c>
      <c r="F41" s="543">
        <f t="shared" si="21"/>
        <v>55225728.10224618</v>
      </c>
      <c r="G41" s="543">
        <f t="shared" si="21"/>
        <v>55225728.10224618</v>
      </c>
      <c r="H41" s="542">
        <f t="shared" si="8"/>
        <v>138064320.25561544</v>
      </c>
      <c r="I41" s="543">
        <f t="shared" ref="I41:N41" si="22">$G14*8/120</f>
        <v>55225728.10224618</v>
      </c>
      <c r="J41" s="543">
        <f t="shared" si="22"/>
        <v>55225728.10224618</v>
      </c>
      <c r="K41" s="543">
        <f t="shared" si="22"/>
        <v>55225728.10224618</v>
      </c>
      <c r="L41" s="543">
        <f t="shared" si="22"/>
        <v>55225728.10224618</v>
      </c>
      <c r="M41" s="543">
        <f t="shared" si="22"/>
        <v>55225728.10224618</v>
      </c>
      <c r="N41" s="543">
        <f t="shared" si="22"/>
        <v>55225728.10224618</v>
      </c>
      <c r="O41" s="543">
        <f t="shared" si="10"/>
        <v>828385921.5336926</v>
      </c>
    </row>
    <row r="42" spans="1:15" s="2" customFormat="1" ht="15">
      <c r="A42" s="293">
        <v>6</v>
      </c>
      <c r="B42" s="539" t="s">
        <v>21</v>
      </c>
      <c r="C42" s="542">
        <f t="shared" si="6"/>
        <v>430434972.02150923</v>
      </c>
      <c r="D42" s="543">
        <f t="shared" ref="D42:G42" si="23">$G15*8/120</f>
        <v>172173988.8086037</v>
      </c>
      <c r="E42" s="543">
        <f t="shared" si="23"/>
        <v>172173988.8086037</v>
      </c>
      <c r="F42" s="543">
        <f t="shared" si="23"/>
        <v>172173988.8086037</v>
      </c>
      <c r="G42" s="543">
        <f t="shared" si="23"/>
        <v>172173988.8086037</v>
      </c>
      <c r="H42" s="542">
        <f t="shared" si="8"/>
        <v>430434972.02150923</v>
      </c>
      <c r="I42" s="543">
        <f t="shared" ref="I42:N42" si="24">$G15*8/120</f>
        <v>172173988.8086037</v>
      </c>
      <c r="J42" s="543">
        <f t="shared" si="24"/>
        <v>172173988.8086037</v>
      </c>
      <c r="K42" s="543">
        <f t="shared" si="24"/>
        <v>172173988.8086037</v>
      </c>
      <c r="L42" s="543">
        <f t="shared" si="24"/>
        <v>172173988.8086037</v>
      </c>
      <c r="M42" s="543">
        <f t="shared" si="24"/>
        <v>172173988.8086037</v>
      </c>
      <c r="N42" s="543">
        <f t="shared" si="24"/>
        <v>172173988.8086037</v>
      </c>
      <c r="O42" s="543">
        <f t="shared" si="10"/>
        <v>2582609832.129056</v>
      </c>
    </row>
    <row r="43" spans="1:15" s="2" customFormat="1" ht="15">
      <c r="A43" s="293">
        <v>7</v>
      </c>
      <c r="B43" s="539" t="s">
        <v>22</v>
      </c>
      <c r="C43" s="542">
        <f t="shared" si="6"/>
        <v>166049041.97939679</v>
      </c>
      <c r="D43" s="543">
        <f t="shared" ref="D43:G43" si="25">$G16*8/120</f>
        <v>66419616.791758709</v>
      </c>
      <c r="E43" s="543">
        <f t="shared" si="25"/>
        <v>66419616.791758709</v>
      </c>
      <c r="F43" s="543">
        <f t="shared" si="25"/>
        <v>66419616.791758709</v>
      </c>
      <c r="G43" s="543">
        <f t="shared" si="25"/>
        <v>66419616.791758709</v>
      </c>
      <c r="H43" s="542">
        <f t="shared" si="8"/>
        <v>166049041.97939679</v>
      </c>
      <c r="I43" s="543">
        <f t="shared" ref="I43:N43" si="26">$G16*8/120</f>
        <v>66419616.791758709</v>
      </c>
      <c r="J43" s="543">
        <f t="shared" si="26"/>
        <v>66419616.791758709</v>
      </c>
      <c r="K43" s="543">
        <f t="shared" si="26"/>
        <v>66419616.791758709</v>
      </c>
      <c r="L43" s="543">
        <f t="shared" si="26"/>
        <v>66419616.791758709</v>
      </c>
      <c r="M43" s="543">
        <f t="shared" si="26"/>
        <v>66419616.791758709</v>
      </c>
      <c r="N43" s="543">
        <f t="shared" si="26"/>
        <v>66419616.791758709</v>
      </c>
      <c r="O43" s="543">
        <f t="shared" si="10"/>
        <v>996294251.87638032</v>
      </c>
    </row>
    <row r="44" spans="1:15" s="2" customFormat="1" ht="15">
      <c r="A44" s="293">
        <v>8</v>
      </c>
      <c r="B44" s="539" t="s">
        <v>23</v>
      </c>
      <c r="C44" s="542">
        <f t="shared" si="6"/>
        <v>150669743.55070931</v>
      </c>
      <c r="D44" s="543">
        <f t="shared" ref="D44:G44" si="27">$G17*8/120</f>
        <v>60267897.42028372</v>
      </c>
      <c r="E44" s="543">
        <f t="shared" si="27"/>
        <v>60267897.42028372</v>
      </c>
      <c r="F44" s="543">
        <f t="shared" si="27"/>
        <v>60267897.42028372</v>
      </c>
      <c r="G44" s="543">
        <f t="shared" si="27"/>
        <v>60267897.42028372</v>
      </c>
      <c r="H44" s="542">
        <f t="shared" si="8"/>
        <v>150669743.55070931</v>
      </c>
      <c r="I44" s="543">
        <f t="shared" ref="I44:N44" si="28">$G17*8/120</f>
        <v>60267897.42028372</v>
      </c>
      <c r="J44" s="543">
        <f t="shared" si="28"/>
        <v>60267897.42028372</v>
      </c>
      <c r="K44" s="543">
        <f t="shared" si="28"/>
        <v>60267897.42028372</v>
      </c>
      <c r="L44" s="543">
        <f t="shared" si="28"/>
        <v>60267897.42028372</v>
      </c>
      <c r="M44" s="543">
        <f t="shared" si="28"/>
        <v>60267897.42028372</v>
      </c>
      <c r="N44" s="543">
        <f t="shared" si="28"/>
        <v>60267897.42028372</v>
      </c>
      <c r="O44" s="543">
        <f t="shared" si="10"/>
        <v>904018461.3042556</v>
      </c>
    </row>
    <row r="45" spans="1:15" s="2" customFormat="1" ht="15">
      <c r="A45" s="293">
        <v>9</v>
      </c>
      <c r="B45" s="539" t="s">
        <v>24</v>
      </c>
      <c r="C45" s="542">
        <f t="shared" si="6"/>
        <v>102257233.70108579</v>
      </c>
      <c r="D45" s="543">
        <f t="shared" ref="D45:G45" si="29">$G18*8/120</f>
        <v>40902893.480434313</v>
      </c>
      <c r="E45" s="543">
        <f t="shared" si="29"/>
        <v>40902893.480434313</v>
      </c>
      <c r="F45" s="543">
        <f t="shared" si="29"/>
        <v>40902893.480434313</v>
      </c>
      <c r="G45" s="543">
        <f t="shared" si="29"/>
        <v>40902893.480434313</v>
      </c>
      <c r="H45" s="542">
        <f t="shared" si="8"/>
        <v>102257233.70108579</v>
      </c>
      <c r="I45" s="543">
        <f t="shared" ref="I45:N45" si="30">$G18*8/120</f>
        <v>40902893.480434313</v>
      </c>
      <c r="J45" s="543">
        <f t="shared" si="30"/>
        <v>40902893.480434313</v>
      </c>
      <c r="K45" s="543">
        <f t="shared" si="30"/>
        <v>40902893.480434313</v>
      </c>
      <c r="L45" s="543">
        <f t="shared" si="30"/>
        <v>40902893.480434313</v>
      </c>
      <c r="M45" s="543">
        <f t="shared" si="30"/>
        <v>40902893.480434313</v>
      </c>
      <c r="N45" s="543">
        <f t="shared" si="30"/>
        <v>40902893.480434313</v>
      </c>
      <c r="O45" s="543">
        <f t="shared" si="10"/>
        <v>613543402.2065146</v>
      </c>
    </row>
    <row r="46" spans="1:15" s="2" customFormat="1" ht="15">
      <c r="A46" s="293">
        <v>10</v>
      </c>
      <c r="B46" s="539" t="s">
        <v>25</v>
      </c>
      <c r="C46" s="542">
        <f t="shared" si="6"/>
        <v>130572491.58643611</v>
      </c>
      <c r="D46" s="543">
        <f t="shared" ref="D46:G46" si="31">$G19*8/120</f>
        <v>52228996.634574443</v>
      </c>
      <c r="E46" s="543">
        <f t="shared" si="31"/>
        <v>52228996.634574443</v>
      </c>
      <c r="F46" s="543">
        <f t="shared" si="31"/>
        <v>52228996.634574443</v>
      </c>
      <c r="G46" s="543">
        <f t="shared" si="31"/>
        <v>52228996.634574443</v>
      </c>
      <c r="H46" s="542">
        <f t="shared" si="8"/>
        <v>130572491.58643611</v>
      </c>
      <c r="I46" s="543">
        <f t="shared" ref="I46:N46" si="32">$G19*8/120</f>
        <v>52228996.634574443</v>
      </c>
      <c r="J46" s="543">
        <f t="shared" si="32"/>
        <v>52228996.634574443</v>
      </c>
      <c r="K46" s="543">
        <f t="shared" si="32"/>
        <v>52228996.634574443</v>
      </c>
      <c r="L46" s="543">
        <f t="shared" si="32"/>
        <v>52228996.634574443</v>
      </c>
      <c r="M46" s="543">
        <f t="shared" si="32"/>
        <v>52228996.634574443</v>
      </c>
      <c r="N46" s="543">
        <f t="shared" si="32"/>
        <v>52228996.634574443</v>
      </c>
      <c r="O46" s="543">
        <f t="shared" si="10"/>
        <v>783434949.51861656</v>
      </c>
    </row>
    <row r="47" spans="1:15" s="2" customFormat="1" ht="15">
      <c r="A47" s="293">
        <v>11</v>
      </c>
      <c r="B47" s="539" t="s">
        <v>26</v>
      </c>
      <c r="C47" s="542">
        <f t="shared" si="6"/>
        <v>221950084.73915854</v>
      </c>
      <c r="D47" s="543">
        <f t="shared" ref="D47:G47" si="33">$G20*8/120</f>
        <v>88780033.895663425</v>
      </c>
      <c r="E47" s="543">
        <f t="shared" si="33"/>
        <v>88780033.895663425</v>
      </c>
      <c r="F47" s="543">
        <f t="shared" si="33"/>
        <v>88780033.895663425</v>
      </c>
      <c r="G47" s="543">
        <f t="shared" si="33"/>
        <v>88780033.895663425</v>
      </c>
      <c r="H47" s="542">
        <f t="shared" si="8"/>
        <v>221950084.73915854</v>
      </c>
      <c r="I47" s="543">
        <f t="shared" ref="I47:N47" si="34">$G20*8/120</f>
        <v>88780033.895663425</v>
      </c>
      <c r="J47" s="543">
        <f t="shared" si="34"/>
        <v>88780033.895663425</v>
      </c>
      <c r="K47" s="543">
        <f t="shared" si="34"/>
        <v>88780033.895663425</v>
      </c>
      <c r="L47" s="543">
        <f t="shared" si="34"/>
        <v>88780033.895663425</v>
      </c>
      <c r="M47" s="543">
        <f t="shared" si="34"/>
        <v>88780033.895663425</v>
      </c>
      <c r="N47" s="543">
        <f t="shared" si="34"/>
        <v>88780033.895663425</v>
      </c>
      <c r="O47" s="543">
        <f t="shared" si="10"/>
        <v>1331700508.4349513</v>
      </c>
    </row>
    <row r="48" spans="1:15" s="2" customFormat="1" ht="15">
      <c r="A48" s="293">
        <v>12</v>
      </c>
      <c r="B48" s="539" t="s">
        <v>27</v>
      </c>
      <c r="C48" s="542">
        <f t="shared" si="6"/>
        <v>146777202.49353406</v>
      </c>
      <c r="D48" s="543">
        <f t="shared" ref="D48:G48" si="35">$G21*8/120</f>
        <v>58710880.997413628</v>
      </c>
      <c r="E48" s="543">
        <f t="shared" si="35"/>
        <v>58710880.997413628</v>
      </c>
      <c r="F48" s="543">
        <f t="shared" si="35"/>
        <v>58710880.997413628</v>
      </c>
      <c r="G48" s="543">
        <f t="shared" si="35"/>
        <v>58710880.997413628</v>
      </c>
      <c r="H48" s="542">
        <f t="shared" si="8"/>
        <v>146777202.49353406</v>
      </c>
      <c r="I48" s="543">
        <f t="shared" ref="I48:N48" si="36">$G21*8/120</f>
        <v>58710880.997413628</v>
      </c>
      <c r="J48" s="543">
        <f t="shared" si="36"/>
        <v>58710880.997413628</v>
      </c>
      <c r="K48" s="543">
        <f t="shared" si="36"/>
        <v>58710880.997413628</v>
      </c>
      <c r="L48" s="543">
        <f t="shared" si="36"/>
        <v>58710880.997413628</v>
      </c>
      <c r="M48" s="543">
        <f t="shared" si="36"/>
        <v>58710880.997413628</v>
      </c>
      <c r="N48" s="543">
        <f t="shared" si="36"/>
        <v>58710880.997413628</v>
      </c>
      <c r="O48" s="543">
        <f t="shared" si="10"/>
        <v>880663214.96120441</v>
      </c>
    </row>
    <row r="49" spans="1:15" ht="15">
      <c r="A49" s="293">
        <v>13</v>
      </c>
      <c r="B49" s="539" t="s">
        <v>28</v>
      </c>
      <c r="C49" s="542">
        <f t="shared" si="6"/>
        <v>218388507.54875454</v>
      </c>
      <c r="D49" s="543">
        <f t="shared" ref="D49:G49" si="37">$G22*8/120</f>
        <v>87355403.01950182</v>
      </c>
      <c r="E49" s="543">
        <f t="shared" si="37"/>
        <v>87355403.01950182</v>
      </c>
      <c r="F49" s="543">
        <f t="shared" si="37"/>
        <v>87355403.01950182</v>
      </c>
      <c r="G49" s="543">
        <f t="shared" si="37"/>
        <v>87355403.01950182</v>
      </c>
      <c r="H49" s="542">
        <f t="shared" si="8"/>
        <v>218388507.54875454</v>
      </c>
      <c r="I49" s="543">
        <f t="shared" ref="I49:N49" si="38">$G22*8/120</f>
        <v>87355403.01950182</v>
      </c>
      <c r="J49" s="543">
        <f t="shared" si="38"/>
        <v>87355403.01950182</v>
      </c>
      <c r="K49" s="543">
        <f t="shared" si="38"/>
        <v>87355403.01950182</v>
      </c>
      <c r="L49" s="543">
        <f t="shared" si="38"/>
        <v>87355403.01950182</v>
      </c>
      <c r="M49" s="543">
        <f t="shared" si="38"/>
        <v>87355403.01950182</v>
      </c>
      <c r="N49" s="543">
        <f t="shared" si="38"/>
        <v>87355403.01950182</v>
      </c>
      <c r="O49" s="543">
        <f t="shared" si="10"/>
        <v>1310331045.2925274</v>
      </c>
    </row>
    <row r="50" spans="1:15" ht="15">
      <c r="A50" s="293">
        <v>14</v>
      </c>
      <c r="B50" s="539" t="s">
        <v>29</v>
      </c>
      <c r="C50" s="542">
        <f t="shared" si="6"/>
        <v>169079659.61221594</v>
      </c>
      <c r="D50" s="543">
        <f t="shared" ref="D50:G50" si="39">$G23*8/120</f>
        <v>67631863.844886377</v>
      </c>
      <c r="E50" s="543">
        <f t="shared" si="39"/>
        <v>67631863.844886377</v>
      </c>
      <c r="F50" s="543">
        <f t="shared" si="39"/>
        <v>67631863.844886377</v>
      </c>
      <c r="G50" s="543">
        <f t="shared" si="39"/>
        <v>67631863.844886377</v>
      </c>
      <c r="H50" s="542">
        <f t="shared" si="8"/>
        <v>169079659.61221594</v>
      </c>
      <c r="I50" s="543">
        <f t="shared" ref="I50:N50" si="40">$G23*8/120</f>
        <v>67631863.844886377</v>
      </c>
      <c r="J50" s="543">
        <f t="shared" si="40"/>
        <v>67631863.844886377</v>
      </c>
      <c r="K50" s="543">
        <f t="shared" si="40"/>
        <v>67631863.844886377</v>
      </c>
      <c r="L50" s="543">
        <f t="shared" si="40"/>
        <v>67631863.844886377</v>
      </c>
      <c r="M50" s="543">
        <f t="shared" si="40"/>
        <v>67631863.844886377</v>
      </c>
      <c r="N50" s="543">
        <f t="shared" si="40"/>
        <v>67631863.844886377</v>
      </c>
      <c r="O50" s="543">
        <f t="shared" si="10"/>
        <v>1014477957.6732959</v>
      </c>
    </row>
    <row r="51" spans="1:15" ht="15">
      <c r="A51" s="293">
        <v>15</v>
      </c>
      <c r="B51" s="539" t="s">
        <v>30</v>
      </c>
      <c r="C51" s="542">
        <f t="shared" si="6"/>
        <v>143818489.38270581</v>
      </c>
      <c r="D51" s="543">
        <f t="shared" ref="D51:G51" si="41">$G24*8/120</f>
        <v>57527395.75308232</v>
      </c>
      <c r="E51" s="543">
        <f t="shared" si="41"/>
        <v>57527395.75308232</v>
      </c>
      <c r="F51" s="543">
        <f t="shared" si="41"/>
        <v>57527395.75308232</v>
      </c>
      <c r="G51" s="543">
        <f t="shared" si="41"/>
        <v>57527395.75308232</v>
      </c>
      <c r="H51" s="542">
        <f t="shared" si="8"/>
        <v>143818489.38270581</v>
      </c>
      <c r="I51" s="543">
        <f t="shared" ref="I51:N51" si="42">$G24*8/120</f>
        <v>57527395.75308232</v>
      </c>
      <c r="J51" s="543">
        <f t="shared" si="42"/>
        <v>57527395.75308232</v>
      </c>
      <c r="K51" s="543">
        <f t="shared" si="42"/>
        <v>57527395.75308232</v>
      </c>
      <c r="L51" s="543">
        <f t="shared" si="42"/>
        <v>57527395.75308232</v>
      </c>
      <c r="M51" s="543">
        <f t="shared" si="42"/>
        <v>57527395.75308232</v>
      </c>
      <c r="N51" s="543">
        <f t="shared" si="42"/>
        <v>57527395.75308232</v>
      </c>
      <c r="O51" s="543">
        <f t="shared" si="10"/>
        <v>862910936.29623461</v>
      </c>
    </row>
    <row r="52" spans="1:15" ht="15">
      <c r="A52" s="293">
        <v>16</v>
      </c>
      <c r="B52" s="539" t="s">
        <v>31</v>
      </c>
      <c r="C52" s="542">
        <f t="shared" si="6"/>
        <v>57310236.828676797</v>
      </c>
      <c r="D52" s="543">
        <f t="shared" ref="D52:G52" si="43">$G25*8/120</f>
        <v>22924094.731470719</v>
      </c>
      <c r="E52" s="543">
        <f t="shared" si="43"/>
        <v>22924094.731470719</v>
      </c>
      <c r="F52" s="543">
        <f t="shared" si="43"/>
        <v>22924094.731470719</v>
      </c>
      <c r="G52" s="543">
        <f t="shared" si="43"/>
        <v>22924094.731470719</v>
      </c>
      <c r="H52" s="542">
        <f t="shared" si="8"/>
        <v>57310236.828676797</v>
      </c>
      <c r="I52" s="543">
        <f t="shared" ref="I52:N52" si="44">$G25*8/120</f>
        <v>22924094.731470719</v>
      </c>
      <c r="J52" s="543">
        <f t="shared" si="44"/>
        <v>22924094.731470719</v>
      </c>
      <c r="K52" s="543">
        <f t="shared" si="44"/>
        <v>22924094.731470719</v>
      </c>
      <c r="L52" s="543">
        <f t="shared" si="44"/>
        <v>22924094.731470719</v>
      </c>
      <c r="M52" s="543">
        <f t="shared" si="44"/>
        <v>22924094.731470719</v>
      </c>
      <c r="N52" s="543">
        <f t="shared" si="44"/>
        <v>22924094.731470719</v>
      </c>
      <c r="O52" s="543">
        <f t="shared" si="10"/>
        <v>343861420.97206074</v>
      </c>
    </row>
    <row r="53" spans="1:15" ht="15">
      <c r="A53" s="293">
        <v>17</v>
      </c>
      <c r="B53" s="539" t="s">
        <v>32</v>
      </c>
      <c r="C53" s="542">
        <f t="shared" si="6"/>
        <v>341979235.72888315</v>
      </c>
      <c r="D53" s="543">
        <f t="shared" ref="D53:G53" si="45">$G26*8/120</f>
        <v>136791694.29155326</v>
      </c>
      <c r="E53" s="543">
        <f t="shared" si="45"/>
        <v>136791694.29155326</v>
      </c>
      <c r="F53" s="543">
        <f t="shared" si="45"/>
        <v>136791694.29155326</v>
      </c>
      <c r="G53" s="543">
        <f t="shared" si="45"/>
        <v>136791694.29155326</v>
      </c>
      <c r="H53" s="542">
        <f t="shared" si="8"/>
        <v>341979235.72888315</v>
      </c>
      <c r="I53" s="543">
        <f t="shared" ref="I53:N53" si="46">$G26*8/120</f>
        <v>136791694.29155326</v>
      </c>
      <c r="J53" s="543">
        <f t="shared" si="46"/>
        <v>136791694.29155326</v>
      </c>
      <c r="K53" s="543">
        <f t="shared" si="46"/>
        <v>136791694.29155326</v>
      </c>
      <c r="L53" s="543">
        <f t="shared" si="46"/>
        <v>136791694.29155326</v>
      </c>
      <c r="M53" s="543">
        <f t="shared" si="46"/>
        <v>136791694.29155326</v>
      </c>
      <c r="N53" s="543">
        <f t="shared" si="46"/>
        <v>136791694.29155326</v>
      </c>
      <c r="O53" s="543">
        <f t="shared" si="10"/>
        <v>2051875414.3732989</v>
      </c>
    </row>
    <row r="54" spans="1:15" ht="15">
      <c r="A54" s="293">
        <v>18</v>
      </c>
      <c r="B54" s="539" t="s">
        <v>33</v>
      </c>
      <c r="C54" s="542">
        <f t="shared" si="6"/>
        <v>69340634.709488794</v>
      </c>
      <c r="D54" s="543">
        <f t="shared" ref="D54:G54" si="47">$G27*8/120</f>
        <v>27736253.883795518</v>
      </c>
      <c r="E54" s="543">
        <f t="shared" si="47"/>
        <v>27736253.883795518</v>
      </c>
      <c r="F54" s="543">
        <f t="shared" si="47"/>
        <v>27736253.883795518</v>
      </c>
      <c r="G54" s="543">
        <f t="shared" si="47"/>
        <v>27736253.883795518</v>
      </c>
      <c r="H54" s="542">
        <f t="shared" si="8"/>
        <v>69340634.709488794</v>
      </c>
      <c r="I54" s="543">
        <f t="shared" ref="I54:N54" si="48">$G27*8/120</f>
        <v>27736253.883795518</v>
      </c>
      <c r="J54" s="543">
        <f t="shared" si="48"/>
        <v>27736253.883795518</v>
      </c>
      <c r="K54" s="543">
        <f t="shared" si="48"/>
        <v>27736253.883795518</v>
      </c>
      <c r="L54" s="543">
        <f t="shared" si="48"/>
        <v>27736253.883795518</v>
      </c>
      <c r="M54" s="543">
        <f t="shared" si="48"/>
        <v>27736253.883795518</v>
      </c>
      <c r="N54" s="543">
        <f t="shared" si="48"/>
        <v>27736253.883795518</v>
      </c>
      <c r="O54" s="543">
        <f t="shared" si="10"/>
        <v>416043808.25693268</v>
      </c>
    </row>
    <row r="55" spans="1:15" ht="15">
      <c r="A55" s="293">
        <v>19</v>
      </c>
      <c r="B55" s="539" t="s">
        <v>34</v>
      </c>
      <c r="C55" s="542">
        <f t="shared" si="6"/>
        <v>174598466.68348959</v>
      </c>
      <c r="D55" s="543">
        <f t="shared" ref="D55:G55" si="49">$G28*8/120</f>
        <v>69839386.673395827</v>
      </c>
      <c r="E55" s="543">
        <f t="shared" si="49"/>
        <v>69839386.673395827</v>
      </c>
      <c r="F55" s="543">
        <f t="shared" si="49"/>
        <v>69839386.673395827</v>
      </c>
      <c r="G55" s="543">
        <f t="shared" si="49"/>
        <v>69839386.673395827</v>
      </c>
      <c r="H55" s="542">
        <f t="shared" si="8"/>
        <v>174598466.68348959</v>
      </c>
      <c r="I55" s="543">
        <f t="shared" ref="I55:N55" si="50">$G28*8/120</f>
        <v>69839386.673395827</v>
      </c>
      <c r="J55" s="543">
        <f t="shared" si="50"/>
        <v>69839386.673395827</v>
      </c>
      <c r="K55" s="543">
        <f t="shared" si="50"/>
        <v>69839386.673395827</v>
      </c>
      <c r="L55" s="543">
        <f t="shared" si="50"/>
        <v>69839386.673395827</v>
      </c>
      <c r="M55" s="543">
        <f t="shared" si="50"/>
        <v>69839386.673395827</v>
      </c>
      <c r="N55" s="543">
        <f t="shared" si="50"/>
        <v>69839386.673395827</v>
      </c>
      <c r="O55" s="543">
        <f t="shared" si="10"/>
        <v>1047590800.1009377</v>
      </c>
    </row>
    <row r="56" spans="1:15" ht="15">
      <c r="A56" s="294"/>
      <c r="B56" s="540" t="s">
        <v>35</v>
      </c>
      <c r="C56" s="541">
        <f>SUM(C34:C55)</f>
        <v>4531625246.6767473</v>
      </c>
      <c r="D56" s="541">
        <f t="shared" ref="D56:O56" si="51">SUM(D34:D55)</f>
        <v>1812650098.6706989</v>
      </c>
      <c r="E56" s="541">
        <f t="shared" si="51"/>
        <v>1812650098.6706989</v>
      </c>
      <c r="F56" s="541">
        <f t="shared" si="51"/>
        <v>1812650098.6706989</v>
      </c>
      <c r="G56" s="541">
        <f t="shared" si="51"/>
        <v>1812650098.6706989</v>
      </c>
      <c r="H56" s="541">
        <f t="shared" si="51"/>
        <v>4531625246.6767473</v>
      </c>
      <c r="I56" s="541">
        <f t="shared" si="51"/>
        <v>1812650098.6706989</v>
      </c>
      <c r="J56" s="541">
        <f t="shared" si="51"/>
        <v>1812650098.6706989</v>
      </c>
      <c r="K56" s="541">
        <f t="shared" si="51"/>
        <v>1812650098.6706989</v>
      </c>
      <c r="L56" s="541">
        <f t="shared" si="51"/>
        <v>1812650098.6706989</v>
      </c>
      <c r="M56" s="541">
        <f t="shared" si="51"/>
        <v>1812650098.6706989</v>
      </c>
      <c r="N56" s="541">
        <f t="shared" si="51"/>
        <v>1812650098.6706989</v>
      </c>
      <c r="O56" s="541">
        <f t="shared" si="51"/>
        <v>27189751480.060478</v>
      </c>
    </row>
    <row r="59" spans="1:15" ht="15">
      <c r="C59" s="552"/>
    </row>
    <row r="60" spans="1:15">
      <c r="C60" s="553"/>
    </row>
    <row r="61" spans="1:15">
      <c r="C61" s="553"/>
    </row>
    <row r="62" spans="1:15">
      <c r="C62" s="553"/>
    </row>
  </sheetData>
  <mergeCells count="1">
    <mergeCell ref="A3:F3"/>
  </mergeCells>
  <pageMargins left="0.7" right="0.7" top="0.75" bottom="0.75" header="0.3" footer="0.3"/>
  <pageSetup paperSize="9" orientation="portrait" r:id="rId1"/>
  <ignoredErrors>
    <ignoredError sqref="H34:H56" formula="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71"/>
  <sheetViews>
    <sheetView zoomScale="71" zoomScaleNormal="85" workbookViewId="0"/>
  </sheetViews>
  <sheetFormatPr defaultRowHeight="14.25"/>
  <cols>
    <col min="1" max="1" width="89.125" style="101" customWidth="1"/>
    <col min="2" max="2" width="24.5" style="101" customWidth="1"/>
    <col min="3" max="3" width="29.375" customWidth="1"/>
    <col min="4" max="4" width="26.625" customWidth="1"/>
    <col min="5" max="5" width="16" customWidth="1"/>
    <col min="6" max="6" width="15.5" customWidth="1"/>
    <col min="7" max="7" width="15.875" customWidth="1"/>
    <col min="8" max="8" width="16.125" customWidth="1"/>
    <col min="9" max="9" width="18.75" customWidth="1"/>
    <col min="10" max="10" width="13.625" customWidth="1"/>
  </cols>
  <sheetData>
    <row r="1" spans="1:7" ht="20.25">
      <c r="A1" s="183" t="s">
        <v>230</v>
      </c>
    </row>
    <row r="2" spans="1:7">
      <c r="A2" s="134" t="str">
        <f>INFO!A2</f>
        <v>VM/HVO 18.12.2025</v>
      </c>
    </row>
    <row r="3" spans="1:7" ht="24.75" customHeight="1">
      <c r="A3" s="564" t="s">
        <v>393</v>
      </c>
      <c r="B3" s="564"/>
    </row>
    <row r="4" spans="1:7" s="25" customFormat="1" ht="89.1" customHeight="1">
      <c r="A4" s="565" t="s">
        <v>443</v>
      </c>
      <c r="B4" s="565"/>
      <c r="C4" s="503"/>
    </row>
    <row r="5" spans="1:7" s="25" customFormat="1" ht="14.1" customHeight="1">
      <c r="A5" s="24"/>
      <c r="B5" s="24"/>
      <c r="C5" s="131"/>
    </row>
    <row r="6" spans="1:7" s="25" customFormat="1" ht="14.1" customHeight="1">
      <c r="A6" s="98" t="s">
        <v>428</v>
      </c>
      <c r="B6" s="102"/>
      <c r="D6" s="185" t="s">
        <v>208</v>
      </c>
      <c r="E6" s="185"/>
      <c r="F6" s="185"/>
    </row>
    <row r="7" spans="1:7" s="25" customFormat="1" ht="14.1" customHeight="1">
      <c r="A7" s="24" t="s">
        <v>197</v>
      </c>
      <c r="B7" s="94" t="s">
        <v>0</v>
      </c>
      <c r="D7" s="25" t="s">
        <v>209</v>
      </c>
      <c r="E7" s="25" t="s">
        <v>205</v>
      </c>
      <c r="F7" s="25" t="s">
        <v>197</v>
      </c>
    </row>
    <row r="8" spans="1:7" s="25" customFormat="1" ht="14.1" customHeight="1">
      <c r="A8" s="24" t="s">
        <v>231</v>
      </c>
      <c r="B8" s="477">
        <v>25738674465.479099</v>
      </c>
      <c r="C8" s="248"/>
      <c r="D8" s="25" t="s">
        <v>204</v>
      </c>
      <c r="E8" s="25">
        <v>0.6</v>
      </c>
      <c r="F8" s="504">
        <v>3.6</v>
      </c>
      <c r="G8" s="242"/>
    </row>
    <row r="9" spans="1:7" s="25" customFormat="1" ht="14.1" customHeight="1">
      <c r="A9" s="24" t="s">
        <v>232</v>
      </c>
      <c r="B9" s="244">
        <v>580541663.98398113</v>
      </c>
      <c r="C9" s="248"/>
      <c r="D9" s="25" t="s">
        <v>206</v>
      </c>
      <c r="E9" s="25">
        <v>0.3</v>
      </c>
      <c r="F9" s="504">
        <v>1.4</v>
      </c>
    </row>
    <row r="10" spans="1:7" s="25" customFormat="1" ht="14.1" customHeight="1">
      <c r="A10" s="99" t="s">
        <v>211</v>
      </c>
      <c r="B10" s="100">
        <f>B8+B9</f>
        <v>26319216129.463081</v>
      </c>
      <c r="C10" s="248"/>
      <c r="D10" s="25" t="s">
        <v>207</v>
      </c>
      <c r="E10" s="25">
        <v>0.1</v>
      </c>
      <c r="F10" s="504">
        <v>6.7259170677180125</v>
      </c>
    </row>
    <row r="11" spans="1:7" s="25" customFormat="1" ht="14.1" customHeight="1">
      <c r="A11" s="24"/>
      <c r="B11" s="245"/>
      <c r="C11" s="248"/>
      <c r="D11" s="186" t="s">
        <v>203</v>
      </c>
      <c r="E11" s="25">
        <v>1</v>
      </c>
      <c r="F11" s="505">
        <f>E8*F8+E9*F9+E10*F10</f>
        <v>3.2525917067718013</v>
      </c>
      <c r="G11" s="204"/>
    </row>
    <row r="12" spans="1:7" s="25" customFormat="1" ht="14.1" customHeight="1">
      <c r="A12" s="24" t="s">
        <v>1</v>
      </c>
      <c r="B12" s="203">
        <f>B8*((1.02%+0.2%)*80%)</f>
        <v>251209462.78307605</v>
      </c>
      <c r="C12" s="248"/>
    </row>
    <row r="13" spans="1:7" s="25" customFormat="1" ht="14.1" customHeight="1">
      <c r="A13" s="24" t="s">
        <v>2</v>
      </c>
      <c r="B13" s="246">
        <f>(B8*1.0325*(1+((1.02%+0.2%)*80%))-B8-B12)</f>
        <v>844671227.66851926</v>
      </c>
      <c r="C13" s="248"/>
    </row>
    <row r="14" spans="1:7" s="25" customFormat="1" ht="14.1" customHeight="1">
      <c r="A14" s="24" t="s">
        <v>3</v>
      </c>
      <c r="B14" s="246">
        <f>B9*0.0325</f>
        <v>18867604.079479389</v>
      </c>
      <c r="C14" s="248"/>
      <c r="D14" s="239"/>
      <c r="E14" s="476"/>
      <c r="F14" s="480"/>
      <c r="G14" s="478"/>
    </row>
    <row r="15" spans="1:7" s="25" customFormat="1" ht="14.1" customHeight="1">
      <c r="A15" s="137"/>
      <c r="B15" s="247"/>
      <c r="C15" s="248"/>
      <c r="D15" s="478"/>
      <c r="E15" s="239"/>
      <c r="F15" s="480"/>
      <c r="G15" s="478"/>
    </row>
    <row r="16" spans="1:7" s="25" customFormat="1" ht="14.1" customHeight="1">
      <c r="A16" s="24" t="s">
        <v>217</v>
      </c>
      <c r="B16" s="246">
        <f>B47</f>
        <v>-21067174.855891727</v>
      </c>
      <c r="C16" s="248"/>
      <c r="D16" s="479"/>
      <c r="F16" s="480"/>
    </row>
    <row r="17" spans="1:9" s="25" customFormat="1" ht="14.1" customHeight="1">
      <c r="A17" s="24" t="s">
        <v>218</v>
      </c>
      <c r="B17" s="209">
        <f>B51</f>
        <v>-109825.14410827543</v>
      </c>
      <c r="C17" s="248"/>
    </row>
    <row r="18" spans="1:9" s="25" customFormat="1" ht="14.1" customHeight="1">
      <c r="A18" s="24" t="s">
        <v>423</v>
      </c>
      <c r="B18" s="209">
        <f>B16+B17</f>
        <v>-21177000.000000004</v>
      </c>
      <c r="C18" s="248"/>
      <c r="D18" s="479"/>
      <c r="E18" s="500"/>
      <c r="F18" s="480"/>
    </row>
    <row r="19" spans="1:9" s="25" customFormat="1" ht="14.1" customHeight="1">
      <c r="A19" s="24"/>
      <c r="B19" s="209"/>
      <c r="C19" s="248"/>
      <c r="D19" s="478"/>
      <c r="E19" s="500"/>
      <c r="F19" s="480"/>
    </row>
    <row r="20" spans="1:9" s="25" customFormat="1" ht="14.1" customHeight="1">
      <c r="A20" s="453" t="s">
        <v>394</v>
      </c>
      <c r="B20" s="209">
        <f>'Jälkikäteistarkistus 2026'!E39</f>
        <v>-196599513.67208415</v>
      </c>
      <c r="C20" s="248"/>
      <c r="D20" s="479"/>
      <c r="F20" s="480"/>
    </row>
    <row r="21" spans="1:9" s="25" customFormat="1" ht="14.1" customHeight="1">
      <c r="A21" s="453" t="s">
        <v>395</v>
      </c>
      <c r="B21" s="209">
        <f>'Jälkikäteistarkistus 2026'!E42</f>
        <v>-1528668.2967440241</v>
      </c>
      <c r="C21" s="248"/>
      <c r="D21" s="479"/>
    </row>
    <row r="22" spans="1:9" s="25" customFormat="1" ht="14.1" customHeight="1">
      <c r="A22" s="453" t="s">
        <v>396</v>
      </c>
      <c r="B22" s="209">
        <f>B20+B21</f>
        <v>-198128181.96882817</v>
      </c>
      <c r="C22" s="248"/>
    </row>
    <row r="23" spans="1:9" s="25" customFormat="1" ht="14.1" customHeight="1">
      <c r="A23" s="24"/>
      <c r="B23" s="209"/>
      <c r="C23" s="248"/>
      <c r="D23" s="479"/>
    </row>
    <row r="24" spans="1:9" s="25" customFormat="1" ht="14.1" customHeight="1">
      <c r="A24" s="24" t="s">
        <v>233</v>
      </c>
      <c r="B24" s="203">
        <f>B8+B12+B13+B16+B20</f>
        <v>26616888467.402718</v>
      </c>
      <c r="C24" s="248"/>
      <c r="D24" s="479"/>
    </row>
    <row r="25" spans="1:9" s="25" customFormat="1" ht="14.1" customHeight="1">
      <c r="A25" s="24" t="s">
        <v>234</v>
      </c>
      <c r="B25" s="203">
        <f>B9+B14+B17+B21</f>
        <v>597770774.62260818</v>
      </c>
      <c r="C25" s="248"/>
    </row>
    <row r="26" spans="1:9" s="25" customFormat="1" ht="14.1" customHeight="1">
      <c r="A26" s="99" t="s">
        <v>235</v>
      </c>
      <c r="B26" s="100">
        <f>B24+B25</f>
        <v>27214659242.025326</v>
      </c>
      <c r="C26" s="248"/>
    </row>
    <row r="27" spans="1:9" s="25" customFormat="1" ht="14.1" customHeight="1">
      <c r="A27" s="24" t="s">
        <v>236</v>
      </c>
      <c r="B27" s="203">
        <v>-24907761.964844778</v>
      </c>
      <c r="C27" s="248"/>
    </row>
    <row r="28" spans="1:9" s="25" customFormat="1" ht="14.1" customHeight="1">
      <c r="A28" s="99" t="s">
        <v>237</v>
      </c>
      <c r="B28" s="100">
        <f>B26+B27</f>
        <v>27189751480.060482</v>
      </c>
      <c r="C28" s="248"/>
      <c r="D28" s="131"/>
      <c r="E28" s="131"/>
    </row>
    <row r="29" spans="1:9" s="25" customFormat="1" ht="14.1" customHeight="1">
      <c r="A29" s="99"/>
      <c r="B29" s="100"/>
      <c r="C29" s="248"/>
      <c r="D29" s="131"/>
      <c r="E29"/>
      <c r="F29"/>
      <c r="G29"/>
      <c r="H29"/>
      <c r="I29"/>
    </row>
    <row r="30" spans="1:9" ht="15">
      <c r="A30" s="243" t="s">
        <v>454</v>
      </c>
      <c r="B30" s="104" t="s">
        <v>0</v>
      </c>
      <c r="C30" s="104" t="s">
        <v>179</v>
      </c>
      <c r="D30" s="274"/>
      <c r="E30" s="274"/>
      <c r="F30" s="147"/>
      <c r="G30" s="147"/>
    </row>
    <row r="31" spans="1:9">
      <c r="A31" s="521" t="s">
        <v>451</v>
      </c>
      <c r="B31" s="522">
        <v>-23400000</v>
      </c>
      <c r="C31" s="473" t="s">
        <v>383</v>
      </c>
      <c r="D31" s="273"/>
      <c r="E31" s="105"/>
      <c r="F31" s="147"/>
      <c r="G31" s="147"/>
    </row>
    <row r="32" spans="1:9">
      <c r="A32" s="526" t="s">
        <v>450</v>
      </c>
      <c r="B32" s="527">
        <v>0</v>
      </c>
      <c r="C32" s="528" t="s">
        <v>385</v>
      </c>
      <c r="D32" s="529" t="s">
        <v>457</v>
      </c>
      <c r="E32" s="451"/>
      <c r="F32" s="147"/>
      <c r="G32" s="147"/>
    </row>
    <row r="33" spans="1:7">
      <c r="A33" s="471" t="s">
        <v>210</v>
      </c>
      <c r="B33" s="472">
        <v>-800000</v>
      </c>
      <c r="C33" s="473" t="s">
        <v>383</v>
      </c>
      <c r="D33" s="105"/>
      <c r="E33" s="451"/>
      <c r="F33" s="147"/>
      <c r="G33" s="147"/>
    </row>
    <row r="34" spans="1:7">
      <c r="A34" s="492" t="s">
        <v>413</v>
      </c>
      <c r="B34" s="493">
        <v>1000000</v>
      </c>
      <c r="C34" s="494" t="s">
        <v>383</v>
      </c>
      <c r="D34" s="273"/>
      <c r="E34" s="105"/>
      <c r="F34" s="147"/>
      <c r="G34" s="147"/>
    </row>
    <row r="35" spans="1:7">
      <c r="A35" s="492" t="s">
        <v>412</v>
      </c>
      <c r="B35" s="493">
        <v>-1000000</v>
      </c>
      <c r="C35" s="494" t="s">
        <v>383</v>
      </c>
      <c r="D35" s="105"/>
      <c r="E35" s="105"/>
      <c r="F35" s="147"/>
      <c r="G35" s="147"/>
    </row>
    <row r="36" spans="1:7">
      <c r="A36" s="471" t="s">
        <v>452</v>
      </c>
      <c r="B36" s="472">
        <f>12832000-1850000</f>
        <v>10982000</v>
      </c>
      <c r="C36" s="473" t="s">
        <v>383</v>
      </c>
      <c r="D36" s="105"/>
      <c r="E36" s="105"/>
      <c r="F36" s="147"/>
      <c r="G36" s="147"/>
    </row>
    <row r="37" spans="1:7">
      <c r="A37" s="471" t="s">
        <v>446</v>
      </c>
      <c r="B37" s="472">
        <f>-10000000+16400000</f>
        <v>6400000</v>
      </c>
      <c r="C37" s="473" t="s">
        <v>384</v>
      </c>
      <c r="D37" s="105"/>
      <c r="E37" s="105"/>
      <c r="F37" s="147"/>
      <c r="G37" s="147"/>
    </row>
    <row r="38" spans="1:7">
      <c r="A38" s="471" t="s">
        <v>408</v>
      </c>
      <c r="B38" s="472">
        <v>-20200000</v>
      </c>
      <c r="C38" s="473" t="s">
        <v>384</v>
      </c>
      <c r="D38" s="105"/>
      <c r="E38" s="105"/>
      <c r="F38" s="147"/>
      <c r="G38" s="147"/>
    </row>
    <row r="39" spans="1:7">
      <c r="A39" s="471" t="s">
        <v>453</v>
      </c>
      <c r="B39" s="472">
        <v>-319000</v>
      </c>
      <c r="C39" s="473" t="s">
        <v>384</v>
      </c>
      <c r="D39" s="105"/>
      <c r="E39" s="105"/>
      <c r="F39" s="147"/>
      <c r="G39" s="147"/>
    </row>
    <row r="40" spans="1:7">
      <c r="A40" s="471" t="s">
        <v>406</v>
      </c>
      <c r="B40" s="472">
        <v>-1600000</v>
      </c>
      <c r="C40" s="473" t="s">
        <v>384</v>
      </c>
      <c r="D40" s="105"/>
      <c r="E40" s="105"/>
      <c r="F40" s="147"/>
      <c r="G40" s="147"/>
    </row>
    <row r="41" spans="1:7">
      <c r="A41" s="471" t="s">
        <v>407</v>
      </c>
      <c r="B41" s="493">
        <f>-5000000*((B8+B12+B13+B20+SUM(B31:B40)+SUM(B42:B46))/((B8+B12+B13+B20+SUM(B31:B40)+SUM(B42:B46)+B9+B14+B21)))</f>
        <v>-4890174.855891725</v>
      </c>
      <c r="C41" s="473" t="s">
        <v>158</v>
      </c>
      <c r="D41" s="105"/>
      <c r="E41" s="105"/>
      <c r="F41" s="147"/>
      <c r="G41" s="147"/>
    </row>
    <row r="42" spans="1:7">
      <c r="A42" s="471" t="s">
        <v>403</v>
      </c>
      <c r="B42" s="493">
        <f>16000000-200000</f>
        <v>15800000</v>
      </c>
      <c r="C42" s="473" t="s">
        <v>384</v>
      </c>
      <c r="D42" s="105"/>
      <c r="E42" s="105"/>
      <c r="F42" s="147"/>
      <c r="G42" s="147"/>
    </row>
    <row r="43" spans="1:7">
      <c r="A43" s="471" t="s">
        <v>402</v>
      </c>
      <c r="B43" s="493">
        <v>-1500000</v>
      </c>
      <c r="C43" s="473" t="s">
        <v>383</v>
      </c>
      <c r="D43" s="105"/>
      <c r="E43" s="105"/>
      <c r="F43" s="147"/>
      <c r="G43" s="147"/>
    </row>
    <row r="44" spans="1:7">
      <c r="A44" s="471" t="s">
        <v>448</v>
      </c>
      <c r="B44" s="493">
        <v>1000000</v>
      </c>
      <c r="C44" s="473" t="s">
        <v>382</v>
      </c>
      <c r="D44" s="273"/>
      <c r="F44" s="147"/>
      <c r="G44" s="147"/>
    </row>
    <row r="45" spans="1:7">
      <c r="A45" s="471" t="s">
        <v>447</v>
      </c>
      <c r="B45" s="493">
        <v>10000</v>
      </c>
      <c r="C45" s="473" t="s">
        <v>383</v>
      </c>
      <c r="D45" s="105"/>
      <c r="E45" s="105"/>
      <c r="F45" s="147"/>
      <c r="G45" s="147"/>
    </row>
    <row r="46" spans="1:7">
      <c r="A46" s="471" t="s">
        <v>449</v>
      </c>
      <c r="B46" s="493">
        <v>-2550000</v>
      </c>
      <c r="C46" s="473" t="s">
        <v>383</v>
      </c>
      <c r="D46" s="105"/>
      <c r="E46" s="105"/>
      <c r="F46" s="147"/>
      <c r="G46" s="147"/>
    </row>
    <row r="47" spans="1:7" ht="15">
      <c r="A47" s="474" t="s">
        <v>426</v>
      </c>
      <c r="B47" s="508">
        <f>SUM(B31:B46)</f>
        <v>-21067174.855891727</v>
      </c>
      <c r="C47" s="475"/>
      <c r="D47" s="105"/>
      <c r="E47" s="105"/>
      <c r="F47" s="147"/>
      <c r="G47" s="147"/>
    </row>
    <row r="48" spans="1:7">
      <c r="B48" s="230"/>
      <c r="D48" s="105"/>
      <c r="E48" s="105"/>
      <c r="F48" s="147"/>
      <c r="G48" s="147"/>
    </row>
    <row r="49" spans="1:8" ht="15">
      <c r="A49" s="497" t="s">
        <v>455</v>
      </c>
      <c r="B49" s="274" t="s">
        <v>0</v>
      </c>
      <c r="C49" s="498" t="s">
        <v>179</v>
      </c>
      <c r="D49" s="105"/>
      <c r="E49" s="105"/>
      <c r="F49" s="147"/>
      <c r="G49" s="147"/>
    </row>
    <row r="50" spans="1:8">
      <c r="A50" s="471" t="s">
        <v>407</v>
      </c>
      <c r="B50" s="509">
        <f>-5000000*((B9+B14+B21)/(B9+B14+B21+B8+B12+B13+B20+SUM(B31:B40)+SUM(B42:B46)))</f>
        <v>-109825.14410827543</v>
      </c>
      <c r="C50" s="499" t="s">
        <v>158</v>
      </c>
      <c r="D50" s="105"/>
      <c r="E50" s="451"/>
      <c r="F50" s="147"/>
      <c r="G50" s="147"/>
    </row>
    <row r="51" spans="1:8" ht="15">
      <c r="A51" s="495" t="s">
        <v>427</v>
      </c>
      <c r="B51" s="496">
        <f>B50</f>
        <v>-109825.14410827543</v>
      </c>
      <c r="D51" s="105"/>
      <c r="E51" s="451"/>
      <c r="F51" s="147"/>
      <c r="G51" s="147"/>
    </row>
    <row r="52" spans="1:8">
      <c r="D52" s="105"/>
      <c r="E52" s="451"/>
      <c r="F52" s="147"/>
      <c r="G52" s="147"/>
    </row>
    <row r="53" spans="1:8">
      <c r="D53" s="105"/>
      <c r="E53" s="105"/>
      <c r="F53" s="147"/>
      <c r="G53" s="147"/>
    </row>
    <row r="54" spans="1:8">
      <c r="D54" s="105"/>
      <c r="E54" s="451"/>
      <c r="F54" s="147"/>
      <c r="G54" s="147"/>
    </row>
    <row r="55" spans="1:8">
      <c r="D55" s="105"/>
      <c r="E55" s="105"/>
      <c r="F55" s="147"/>
      <c r="G55" s="147"/>
    </row>
    <row r="56" spans="1:8">
      <c r="D56" s="105"/>
      <c r="E56" s="451"/>
      <c r="F56" s="260"/>
      <c r="G56" s="260"/>
      <c r="H56" s="127"/>
    </row>
    <row r="57" spans="1:8" ht="15">
      <c r="D57" s="105"/>
      <c r="E57" s="454"/>
      <c r="F57" s="455"/>
      <c r="G57" s="454"/>
      <c r="H57" s="127"/>
    </row>
    <row r="58" spans="1:8" ht="15">
      <c r="D58" s="105"/>
      <c r="E58" s="454"/>
      <c r="F58" s="455"/>
      <c r="G58" s="454"/>
      <c r="H58" s="127"/>
    </row>
    <row r="59" spans="1:8" ht="15">
      <c r="D59" s="105"/>
      <c r="E59" s="454"/>
      <c r="F59" s="455"/>
      <c r="G59" s="454"/>
      <c r="H59" s="127"/>
    </row>
    <row r="60" spans="1:8" ht="15">
      <c r="D60" s="147"/>
      <c r="E60" s="454"/>
      <c r="F60" s="455"/>
      <c r="G60" s="454"/>
      <c r="H60" s="127"/>
    </row>
    <row r="61" spans="1:8" ht="15">
      <c r="D61" s="147"/>
      <c r="E61" s="454"/>
      <c r="F61" s="455"/>
      <c r="G61" s="454"/>
      <c r="H61" s="127"/>
    </row>
    <row r="62" spans="1:8" ht="15">
      <c r="D62" s="147"/>
      <c r="E62" s="454"/>
      <c r="F62" s="455"/>
      <c r="G62" s="454"/>
      <c r="H62" s="127"/>
    </row>
    <row r="63" spans="1:8" ht="15">
      <c r="D63" s="147"/>
      <c r="E63" s="454"/>
      <c r="F63" s="455"/>
      <c r="G63" s="454"/>
      <c r="H63" s="127"/>
    </row>
    <row r="64" spans="1:8" ht="15">
      <c r="D64" s="147"/>
      <c r="E64" s="454"/>
      <c r="F64" s="455"/>
      <c r="G64" s="454"/>
      <c r="H64" s="127"/>
    </row>
    <row r="65" spans="4:8" ht="15">
      <c r="D65" s="147"/>
      <c r="E65" s="454"/>
      <c r="F65" s="455"/>
      <c r="G65" s="454"/>
      <c r="H65" s="127"/>
    </row>
    <row r="66" spans="4:8" ht="15">
      <c r="D66" s="147"/>
      <c r="E66" s="454"/>
      <c r="F66" s="455"/>
      <c r="G66" s="454"/>
      <c r="H66" s="127"/>
    </row>
    <row r="67" spans="4:8" ht="15">
      <c r="D67" s="147"/>
      <c r="E67" s="454"/>
      <c r="F67" s="455"/>
      <c r="G67" s="454"/>
      <c r="H67" s="127"/>
    </row>
    <row r="68" spans="4:8" ht="15">
      <c r="D68" s="147"/>
      <c r="E68" s="454"/>
      <c r="F68" s="455"/>
      <c r="G68" s="454"/>
      <c r="H68" s="127"/>
    </row>
    <row r="69" spans="4:8" ht="15">
      <c r="D69" s="147"/>
      <c r="E69" s="454"/>
      <c r="F69" s="455"/>
      <c r="G69" s="454"/>
      <c r="H69" s="127"/>
    </row>
    <row r="70" spans="4:8" ht="15">
      <c r="D70" s="147"/>
      <c r="E70" s="456"/>
      <c r="F70" s="457"/>
      <c r="G70" s="457"/>
      <c r="H70" s="127"/>
    </row>
    <row r="71" spans="4:8" ht="52.5" customHeight="1">
      <c r="D71" s="147"/>
      <c r="E71" s="147"/>
      <c r="F71" s="147"/>
      <c r="G71" s="147"/>
    </row>
  </sheetData>
  <mergeCells count="2">
    <mergeCell ref="A3:B3"/>
    <mergeCell ref="A4:B4"/>
  </mergeCells>
  <phoneticPr fontId="55" type="noConversion"/>
  <pageMargins left="0.7" right="0.7" top="0.75" bottom="0.75" header="0.3" footer="0.3"/>
  <pageSetup paperSize="9" orientation="portrait" r:id="rId1"/>
  <ignoredErrors>
    <ignoredError sqref="B50:B51" calculatedColumn="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49"/>
  <sheetViews>
    <sheetView zoomScale="69" zoomScaleNormal="85" workbookViewId="0"/>
  </sheetViews>
  <sheetFormatPr defaultRowHeight="14.25"/>
  <cols>
    <col min="1" max="1" width="44.875" customWidth="1"/>
    <col min="2" max="2" width="28.75" customWidth="1"/>
    <col min="3" max="3" width="20.5" customWidth="1"/>
    <col min="4" max="4" width="20.625" customWidth="1"/>
    <col min="5" max="5" width="22.375" customWidth="1"/>
    <col min="6" max="6" width="23" customWidth="1"/>
    <col min="7" max="7" width="22" customWidth="1"/>
    <col min="8" max="8" width="21.75" customWidth="1"/>
    <col min="9" max="9" width="23.375" customWidth="1"/>
    <col min="10" max="10" width="23.625" customWidth="1"/>
    <col min="11" max="11" width="20" customWidth="1"/>
    <col min="12" max="12" width="8.75" bestFit="1" customWidth="1"/>
  </cols>
  <sheetData>
    <row r="1" spans="1:11" ht="20.25">
      <c r="A1" s="183" t="s">
        <v>266</v>
      </c>
    </row>
    <row r="2" spans="1:11">
      <c r="A2" s="134" t="str">
        <f>INFO!A2</f>
        <v>VM/HVO 18.12.2025</v>
      </c>
      <c r="C2" s="101"/>
    </row>
    <row r="3" spans="1:11" ht="67.5" customHeight="1">
      <c r="A3" s="566" t="s">
        <v>410</v>
      </c>
      <c r="B3" s="566"/>
      <c r="C3" s="566"/>
      <c r="D3" s="566"/>
      <c r="E3" s="566"/>
      <c r="F3" s="566"/>
    </row>
    <row r="4" spans="1:11" ht="52.5" customHeight="1">
      <c r="A4" s="566" t="s">
        <v>411</v>
      </c>
      <c r="B4" s="566"/>
      <c r="C4" s="566"/>
      <c r="D4" s="566"/>
      <c r="E4" s="566"/>
      <c r="F4" s="566"/>
    </row>
    <row r="5" spans="1:11" ht="84.95" customHeight="1">
      <c r="A5" s="567" t="s">
        <v>444</v>
      </c>
      <c r="B5" s="567"/>
      <c r="C5" s="567"/>
      <c r="D5" s="567"/>
      <c r="E5" s="567"/>
      <c r="F5" s="567"/>
    </row>
    <row r="6" spans="1:11" ht="51" customHeight="1">
      <c r="A6" s="567" t="s">
        <v>437</v>
      </c>
      <c r="B6" s="567"/>
      <c r="C6" s="567"/>
      <c r="D6" s="567"/>
      <c r="E6" s="567"/>
      <c r="F6" s="567"/>
      <c r="G6" s="415"/>
    </row>
    <row r="8" spans="1:11" ht="15">
      <c r="B8" s="275"/>
      <c r="C8" s="275"/>
      <c r="E8" s="276"/>
      <c r="G8" s="416"/>
      <c r="I8" s="207"/>
      <c r="K8" s="206"/>
    </row>
    <row r="9" spans="1:11" ht="15.75" thickBot="1">
      <c r="A9" s="208" t="s">
        <v>267</v>
      </c>
      <c r="B9" s="208"/>
      <c r="C9" s="458"/>
      <c r="D9" s="458"/>
      <c r="E9" s="458"/>
      <c r="G9" s="414"/>
      <c r="I9" s="207"/>
      <c r="K9" s="206"/>
    </row>
    <row r="10" spans="1:11" ht="15">
      <c r="A10" s="316"/>
      <c r="B10" s="316"/>
      <c r="C10" s="459">
        <v>2024</v>
      </c>
      <c r="D10" s="460">
        <v>2025</v>
      </c>
      <c r="E10" s="459">
        <v>2026</v>
      </c>
      <c r="G10" s="417"/>
      <c r="I10" s="207"/>
      <c r="K10" s="206"/>
    </row>
    <row r="11" spans="1:11" ht="15">
      <c r="A11" s="315" t="s">
        <v>425</v>
      </c>
      <c r="B11" s="275"/>
      <c r="C11" s="501">
        <v>2.53E-2</v>
      </c>
      <c r="D11" s="502">
        <v>0.03</v>
      </c>
      <c r="E11" s="241">
        <v>3.2500000000000001E-2</v>
      </c>
      <c r="G11" s="240"/>
      <c r="I11" s="207"/>
      <c r="K11" s="206"/>
    </row>
    <row r="12" spans="1:11" ht="15">
      <c r="A12" s="315" t="s">
        <v>424</v>
      </c>
      <c r="B12" s="275"/>
      <c r="C12" s="241">
        <v>1.9199999999999998E-2</v>
      </c>
      <c r="D12" s="241">
        <v>2.2200000000000001E-2</v>
      </c>
      <c r="E12" s="241"/>
      <c r="G12" s="240"/>
      <c r="I12" s="207"/>
      <c r="K12" s="206"/>
    </row>
    <row r="13" spans="1:11" ht="15">
      <c r="A13" s="315" t="s">
        <v>414</v>
      </c>
      <c r="B13" s="275"/>
      <c r="C13" s="241">
        <f>1.05%+0.2%</f>
        <v>1.2500000000000001E-2</v>
      </c>
      <c r="D13" s="241">
        <f>(1.07%+0.2%)*80%</f>
        <v>1.0160000000000002E-2</v>
      </c>
      <c r="E13" s="241">
        <f>(1.02%+0.2%)*80%</f>
        <v>9.7600000000000013E-3</v>
      </c>
    </row>
    <row r="14" spans="1:11" ht="15">
      <c r="G14" s="240"/>
      <c r="I14" s="207"/>
      <c r="K14" s="206"/>
    </row>
    <row r="15" spans="1:11" ht="15">
      <c r="A15" s="309"/>
      <c r="B15" s="461">
        <v>2023</v>
      </c>
      <c r="C15" s="461" t="s">
        <v>409</v>
      </c>
      <c r="D15" s="461">
        <v>2025</v>
      </c>
      <c r="E15" s="462">
        <v>2026</v>
      </c>
      <c r="G15" s="240"/>
      <c r="I15" s="207"/>
      <c r="K15" s="206"/>
    </row>
    <row r="16" spans="1:11" ht="15">
      <c r="A16" t="s">
        <v>252</v>
      </c>
      <c r="B16" s="310">
        <v>23935162091.099754</v>
      </c>
      <c r="C16" s="310">
        <v>24642646696.550003</v>
      </c>
      <c r="D16" s="310"/>
      <c r="E16" s="314"/>
      <c r="G16" s="240"/>
      <c r="I16" s="207"/>
      <c r="K16" s="206"/>
    </row>
    <row r="17" spans="1:11" ht="15">
      <c r="A17" t="s">
        <v>253</v>
      </c>
      <c r="B17" s="310">
        <v>550030959.75024998</v>
      </c>
      <c r="C17" s="310">
        <v>563946446.44000006</v>
      </c>
      <c r="D17" s="310"/>
      <c r="E17" s="314"/>
      <c r="G17" s="240"/>
      <c r="I17" s="207"/>
      <c r="K17" s="206"/>
    </row>
    <row r="18" spans="1:11" ht="15">
      <c r="A18" t="s">
        <v>256</v>
      </c>
      <c r="B18" s="310">
        <v>24485193050.850006</v>
      </c>
      <c r="C18" s="310">
        <v>25206593142.990002</v>
      </c>
      <c r="D18" s="206"/>
      <c r="E18" s="429"/>
      <c r="G18" s="240"/>
      <c r="I18" s="207"/>
      <c r="K18" s="206"/>
    </row>
    <row r="19" spans="1:11" ht="18.600000000000001" customHeight="1">
      <c r="E19" s="127"/>
      <c r="G19" s="240"/>
      <c r="I19" s="207"/>
      <c r="K19" s="206"/>
    </row>
    <row r="20" spans="1:11" ht="17.45" customHeight="1">
      <c r="A20" s="312" t="s">
        <v>258</v>
      </c>
      <c r="B20" s="313">
        <v>22670306001.888947</v>
      </c>
      <c r="C20" s="314">
        <v>23570022112.589275</v>
      </c>
      <c r="D20" s="310"/>
      <c r="E20" s="314"/>
      <c r="G20" s="240"/>
      <c r="I20" s="207"/>
      <c r="K20" s="206"/>
    </row>
    <row r="21" spans="1:11" ht="15">
      <c r="A21" s="312" t="s">
        <v>259</v>
      </c>
      <c r="B21" s="313">
        <v>498545787.23582369</v>
      </c>
      <c r="C21" s="314">
        <v>513985901.31177771</v>
      </c>
      <c r="D21" s="310"/>
      <c r="E21" s="314"/>
      <c r="G21" s="240"/>
      <c r="I21" s="207"/>
      <c r="K21" s="206"/>
    </row>
    <row r="22" spans="1:11" ht="15">
      <c r="A22" s="230" t="s">
        <v>257</v>
      </c>
      <c r="B22" s="207">
        <v>23168851789.124771</v>
      </c>
      <c r="C22" s="310">
        <v>24084008013.901054</v>
      </c>
      <c r="D22" s="206"/>
      <c r="E22" s="429"/>
      <c r="G22" s="240"/>
      <c r="I22" s="207"/>
      <c r="K22" s="206"/>
    </row>
    <row r="23" spans="1:11" ht="15">
      <c r="D23" s="206"/>
      <c r="E23" s="429"/>
      <c r="G23" s="240"/>
      <c r="I23" s="207"/>
      <c r="K23" s="206"/>
    </row>
    <row r="24" spans="1:11" ht="15">
      <c r="A24" t="s">
        <v>254</v>
      </c>
      <c r="B24" s="207">
        <v>-1264856089.2108078</v>
      </c>
      <c r="C24" s="207">
        <f>C20-C16</f>
        <v>-1072624583.9607277</v>
      </c>
      <c r="D24" s="207"/>
      <c r="E24" s="313"/>
      <c r="G24" s="240"/>
      <c r="I24" s="207"/>
      <c r="K24" s="206"/>
    </row>
    <row r="25" spans="1:11" ht="15">
      <c r="A25" t="s">
        <v>255</v>
      </c>
      <c r="B25" s="207">
        <v>-51485172.514426291</v>
      </c>
      <c r="C25" s="207">
        <f>C21-C17</f>
        <v>-49960545.128222346</v>
      </c>
      <c r="D25" s="207"/>
      <c r="E25" s="313"/>
      <c r="G25" s="240"/>
      <c r="I25" s="207"/>
      <c r="K25" s="206"/>
    </row>
    <row r="26" spans="1:11" ht="15">
      <c r="A26" t="s">
        <v>260</v>
      </c>
      <c r="B26" s="207">
        <v>-1316341261.725235</v>
      </c>
      <c r="C26" s="207">
        <f>C22-C18</f>
        <v>-1122585129.0889473</v>
      </c>
      <c r="D26" s="207"/>
      <c r="E26" s="313"/>
      <c r="G26" s="240"/>
      <c r="I26" s="207"/>
      <c r="K26" s="206"/>
    </row>
    <row r="27" spans="1:11" ht="15">
      <c r="C27" s="207"/>
      <c r="D27" s="207"/>
      <c r="E27" s="127"/>
      <c r="G27" s="240"/>
      <c r="I27" s="207"/>
      <c r="K27" s="206"/>
    </row>
    <row r="28" spans="1:11" ht="15">
      <c r="A28" s="426" t="s">
        <v>400</v>
      </c>
      <c r="C28" s="207"/>
      <c r="D28" s="207"/>
      <c r="E28" s="127"/>
      <c r="G28" s="240"/>
      <c r="I28" s="207"/>
      <c r="K28" s="206"/>
    </row>
    <row r="29" spans="1:11" ht="15">
      <c r="A29" s="463" t="s">
        <v>263</v>
      </c>
      <c r="B29" s="464"/>
      <c r="C29" s="465"/>
      <c r="D29" s="465">
        <f>-B24*(1+C12)*(1+C13)*(1+D11)*(1+D13)</f>
        <v>1358072499.2076964</v>
      </c>
      <c r="E29" s="466">
        <f>-(C24-B24)*(1+D12)*(1+D13)*(1+E11)*(1+E13)</f>
        <v>-206946856.49693069</v>
      </c>
      <c r="G29" s="240"/>
      <c r="I29" s="207"/>
      <c r="K29" s="206"/>
    </row>
    <row r="30" spans="1:11" ht="15">
      <c r="A30" s="464" t="s">
        <v>391</v>
      </c>
      <c r="B30" s="464"/>
      <c r="C30" s="465"/>
      <c r="D30" s="465">
        <f>D29</f>
        <v>1358072499.2076964</v>
      </c>
      <c r="E30" s="467">
        <f>D40*(1+E11)*(1+E13)+E29</f>
        <v>1208948567.1240318</v>
      </c>
      <c r="G30" s="240"/>
      <c r="I30" s="207"/>
      <c r="K30" s="206"/>
    </row>
    <row r="31" spans="1:11" ht="15">
      <c r="A31" s="464"/>
      <c r="B31" s="464"/>
      <c r="C31" s="465"/>
      <c r="D31" s="465"/>
      <c r="E31" s="467"/>
      <c r="G31" s="240"/>
      <c r="I31" s="207"/>
      <c r="K31" s="206"/>
    </row>
    <row r="32" spans="1:11" ht="15">
      <c r="A32" s="463" t="s">
        <v>264</v>
      </c>
      <c r="B32" s="464"/>
      <c r="C32" s="465"/>
      <c r="D32" s="465">
        <f>-B25*(1+C12)*(1+D11)</f>
        <v>54047898.461504377</v>
      </c>
      <c r="E32" s="466">
        <f>-(C25-B25)*(1+D12)*(1+E11)</f>
        <v>-1609124.5228884465</v>
      </c>
      <c r="G32" s="240"/>
      <c r="I32" s="207"/>
      <c r="K32" s="206"/>
    </row>
    <row r="33" spans="1:11" ht="15">
      <c r="A33" s="464" t="s">
        <v>392</v>
      </c>
      <c r="B33" s="464"/>
      <c r="C33" s="465"/>
      <c r="D33" s="465">
        <f>D32</f>
        <v>54047898.461504377</v>
      </c>
      <c r="E33" s="467">
        <f>D43*(1+E11)+E32</f>
        <v>54195330.638614826</v>
      </c>
      <c r="G33" s="240"/>
      <c r="I33" s="207"/>
      <c r="K33" s="206"/>
    </row>
    <row r="34" spans="1:11" ht="15">
      <c r="A34" s="464"/>
      <c r="B34" s="464"/>
      <c r="C34" s="465"/>
      <c r="D34" s="465"/>
      <c r="E34" s="466"/>
      <c r="G34" s="240"/>
      <c r="I34" s="207"/>
      <c r="K34" s="206"/>
    </row>
    <row r="35" spans="1:11" ht="15">
      <c r="A35" s="427" t="s">
        <v>261</v>
      </c>
      <c r="B35" s="427"/>
      <c r="C35" s="428"/>
      <c r="D35" s="428">
        <f>D29+D32</f>
        <v>1412120397.6692009</v>
      </c>
      <c r="E35" s="447">
        <f>E29+E32</f>
        <v>-208555981.01981914</v>
      </c>
      <c r="G35" s="240"/>
      <c r="I35" s="207"/>
      <c r="K35" s="206"/>
    </row>
    <row r="36" spans="1:11" ht="15">
      <c r="A36" s="427" t="s">
        <v>262</v>
      </c>
      <c r="B36" s="427"/>
      <c r="C36" s="428"/>
      <c r="D36" s="428">
        <f>D35</f>
        <v>1412120397.6692009</v>
      </c>
      <c r="E36" s="448">
        <f>E30+E33</f>
        <v>1263143897.7626467</v>
      </c>
      <c r="G36" s="240"/>
      <c r="I36" s="207"/>
      <c r="K36" s="206"/>
    </row>
    <row r="37" spans="1:11" ht="15.75" thickBot="1">
      <c r="C37" s="207"/>
      <c r="D37" s="207"/>
      <c r="E37" s="127"/>
      <c r="G37" s="240"/>
      <c r="I37" s="207"/>
      <c r="K37" s="206"/>
    </row>
    <row r="38" spans="1:11" ht="15">
      <c r="A38" s="431" t="s">
        <v>399</v>
      </c>
      <c r="B38" s="432"/>
      <c r="C38" s="432"/>
      <c r="D38" s="433"/>
      <c r="E38" s="434">
        <v>0.95</v>
      </c>
      <c r="G38" s="240"/>
      <c r="I38" s="207"/>
      <c r="K38" s="206"/>
    </row>
    <row r="39" spans="1:11" ht="15">
      <c r="A39" s="435" t="s">
        <v>263</v>
      </c>
      <c r="B39" s="127"/>
      <c r="C39" s="127"/>
      <c r="D39" s="313">
        <f>-B24*(1+C12)*(1+C13)*(1+D11)*(1+D13)</f>
        <v>1358072499.2076964</v>
      </c>
      <c r="E39" s="436">
        <f>-(C24-B24)*(1+D12)*(1+D13)*(1+E11)*(1+E13)*E38</f>
        <v>-196599513.67208415</v>
      </c>
      <c r="G39" s="240"/>
      <c r="I39" s="207"/>
      <c r="K39" s="206"/>
    </row>
    <row r="40" spans="1:11" ht="15">
      <c r="A40" s="437" t="s">
        <v>391</v>
      </c>
      <c r="B40" s="127"/>
      <c r="C40" s="127"/>
      <c r="D40" s="313">
        <f>D39</f>
        <v>1358072499.2076964</v>
      </c>
      <c r="E40" s="438">
        <f>D40*(1+E11)*(1+E13)+E39</f>
        <v>1219295909.9488783</v>
      </c>
      <c r="G40" s="240"/>
      <c r="I40" s="207"/>
      <c r="K40" s="206"/>
    </row>
    <row r="41" spans="1:11" ht="15">
      <c r="A41" s="437"/>
      <c r="B41" s="127"/>
      <c r="C41" s="127"/>
      <c r="D41" s="313"/>
      <c r="E41" s="438"/>
      <c r="G41" s="240"/>
      <c r="I41" s="207"/>
      <c r="K41" s="206"/>
    </row>
    <row r="42" spans="1:11" ht="15">
      <c r="A42" s="435" t="s">
        <v>264</v>
      </c>
      <c r="B42" s="127"/>
      <c r="C42" s="127"/>
      <c r="D42" s="313">
        <f>-B25*(1+C12)*(1+D11)</f>
        <v>54047898.461504377</v>
      </c>
      <c r="E42" s="436">
        <f>-(C25-B25)*(1+D12)*(1+E11)*E38</f>
        <v>-1528668.2967440241</v>
      </c>
      <c r="G42" s="240"/>
      <c r="I42" s="207"/>
      <c r="K42" s="206"/>
    </row>
    <row r="43" spans="1:11" ht="15">
      <c r="A43" s="437" t="s">
        <v>392</v>
      </c>
      <c r="B43" s="127"/>
      <c r="C43" s="127"/>
      <c r="D43" s="313">
        <f>D42</f>
        <v>54047898.461504377</v>
      </c>
      <c r="E43" s="438">
        <f>D43*(1+E11)+E42</f>
        <v>54275786.864759244</v>
      </c>
      <c r="G43" s="240"/>
      <c r="I43" s="207"/>
      <c r="K43" s="206"/>
    </row>
    <row r="44" spans="1:11" ht="15">
      <c r="A44" s="437"/>
      <c r="B44" s="127"/>
      <c r="C44" s="127"/>
      <c r="D44" s="313"/>
      <c r="E44" s="436"/>
      <c r="G44" s="240"/>
      <c r="I44" s="207"/>
      <c r="K44" s="206"/>
    </row>
    <row r="45" spans="1:11" ht="15">
      <c r="A45" s="439" t="s">
        <v>261</v>
      </c>
      <c r="B45" s="440"/>
      <c r="C45" s="440"/>
      <c r="D45" s="441">
        <f>D39+D42</f>
        <v>1412120397.6692009</v>
      </c>
      <c r="E45" s="442">
        <f>E39+E42</f>
        <v>-198128181.96882817</v>
      </c>
      <c r="G45" s="240"/>
      <c r="I45" s="207"/>
      <c r="K45" s="206"/>
    </row>
    <row r="46" spans="1:11" ht="15.75" thickBot="1">
      <c r="A46" s="443" t="s">
        <v>262</v>
      </c>
      <c r="B46" s="444"/>
      <c r="C46" s="444"/>
      <c r="D46" s="445">
        <f>D45</f>
        <v>1412120397.6692009</v>
      </c>
      <c r="E46" s="446">
        <f>E40+E43</f>
        <v>1273571696.8136375</v>
      </c>
      <c r="F46" s="207"/>
      <c r="G46" s="240"/>
      <c r="I46" s="207"/>
      <c r="K46" s="206"/>
    </row>
    <row r="47" spans="1:11" s="147" customFormat="1" ht="15">
      <c r="A47" s="418"/>
      <c r="B47" s="418"/>
      <c r="C47" s="418"/>
      <c r="D47" s="419"/>
      <c r="E47" s="240"/>
      <c r="G47" s="240"/>
      <c r="I47" s="420"/>
      <c r="K47" s="421"/>
    </row>
    <row r="48" spans="1:11" ht="15">
      <c r="A48" s="311" t="s">
        <v>401</v>
      </c>
      <c r="B48" s="422"/>
      <c r="C48" s="422"/>
      <c r="D48" s="423"/>
      <c r="E48" s="430">
        <f>E46-E36</f>
        <v>10427799.05099082</v>
      </c>
      <c r="G48" s="240"/>
      <c r="I48" s="207"/>
      <c r="K48" s="206"/>
    </row>
    <row r="49" ht="36.6" customHeight="1"/>
  </sheetData>
  <mergeCells count="4">
    <mergeCell ref="A3:F3"/>
    <mergeCell ref="A5:F5"/>
    <mergeCell ref="A6:F6"/>
    <mergeCell ref="A4:F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6FE0-0CD6-42FF-8C7E-D5BF1B93C867}">
  <sheetPr>
    <tabColor theme="8"/>
  </sheetPr>
  <dimension ref="A1:AI107"/>
  <sheetViews>
    <sheetView zoomScale="30" zoomScaleNormal="60" workbookViewId="0"/>
  </sheetViews>
  <sheetFormatPr defaultRowHeight="15"/>
  <cols>
    <col min="1" max="1" width="58.625" style="27" customWidth="1"/>
    <col min="2" max="2" width="30.125" style="27" customWidth="1"/>
    <col min="3" max="3" width="35.375" style="27" customWidth="1"/>
    <col min="4" max="5" width="35.25" style="27" customWidth="1"/>
    <col min="6" max="6" width="32.25" style="27" customWidth="1"/>
    <col min="7" max="7" width="25.875" style="27" customWidth="1"/>
    <col min="8" max="13" width="24.5" style="27" customWidth="1"/>
    <col min="14" max="14" width="19.875" style="27" customWidth="1"/>
    <col min="15" max="15" width="21.125" customWidth="1"/>
    <col min="16" max="16" width="24.625" customWidth="1"/>
    <col min="17" max="25" width="20.5" customWidth="1"/>
    <col min="26" max="27" width="17.375" customWidth="1"/>
    <col min="31" max="31" width="13.125" bestFit="1" customWidth="1"/>
    <col min="32" max="32" width="11.625" bestFit="1" customWidth="1"/>
    <col min="33" max="33" width="13.125" bestFit="1" customWidth="1"/>
    <col min="35" max="35" width="11.875" customWidth="1"/>
  </cols>
  <sheetData>
    <row r="1" spans="1:14" ht="20.25">
      <c r="A1" s="183" t="s">
        <v>398</v>
      </c>
      <c r="D1" s="29"/>
      <c r="E1" s="29"/>
      <c r="F1" s="29"/>
    </row>
    <row r="2" spans="1:14" s="32" customFormat="1">
      <c r="A2" s="1" t="str">
        <f>INFO!A2</f>
        <v>VM/HVO 18.12.2025</v>
      </c>
      <c r="B2" s="33"/>
      <c r="C2" s="33"/>
      <c r="D2" s="33"/>
      <c r="E2" s="33"/>
      <c r="F2" s="33"/>
      <c r="G2" s="33"/>
      <c r="H2" s="33"/>
      <c r="I2" s="33"/>
      <c r="J2" s="33"/>
      <c r="K2" s="33"/>
      <c r="L2" s="27"/>
      <c r="M2" s="27"/>
      <c r="N2" s="27"/>
    </row>
    <row r="3" spans="1:14" s="32" customFormat="1" ht="84.75" customHeight="1">
      <c r="A3" s="568" t="s">
        <v>445</v>
      </c>
      <c r="B3" s="568"/>
      <c r="C3" s="568"/>
      <c r="D3" s="27"/>
      <c r="E3" s="27"/>
      <c r="F3" s="27"/>
      <c r="G3" s="27"/>
      <c r="H3" s="27"/>
      <c r="I3" s="27"/>
      <c r="J3" s="27"/>
      <c r="K3" s="27"/>
      <c r="L3" s="27"/>
      <c r="M3" s="27"/>
      <c r="N3" s="27"/>
    </row>
    <row r="4" spans="1:14" s="32" customFormat="1">
      <c r="A4" s="34"/>
      <c r="B4" s="27"/>
      <c r="C4"/>
      <c r="D4" s="27"/>
      <c r="E4" s="27"/>
      <c r="F4" s="27"/>
      <c r="G4" s="27"/>
      <c r="H4" s="27"/>
      <c r="I4" s="27"/>
      <c r="J4" s="27"/>
      <c r="K4" s="27"/>
      <c r="L4" s="27"/>
      <c r="M4" s="27"/>
      <c r="N4" s="27"/>
    </row>
    <row r="5" spans="1:14" s="32" customFormat="1" ht="17.25" thickBot="1">
      <c r="A5" s="173" t="s">
        <v>200</v>
      </c>
      <c r="B5" s="40"/>
      <c r="C5"/>
      <c r="D5" s="35"/>
      <c r="E5" s="28"/>
      <c r="F5" s="28"/>
      <c r="G5" s="28"/>
      <c r="H5" s="28"/>
      <c r="I5" s="28"/>
      <c r="J5" s="28"/>
      <c r="K5" s="28"/>
      <c r="L5" s="28"/>
      <c r="M5" s="28"/>
      <c r="N5" s="28"/>
    </row>
    <row r="6" spans="1:14" s="32" customFormat="1" ht="16.5" thickTop="1">
      <c r="A6" s="168" t="s">
        <v>233</v>
      </c>
      <c r="B6" s="169" t="s">
        <v>0</v>
      </c>
      <c r="C6"/>
      <c r="D6" s="28"/>
      <c r="E6" s="27"/>
      <c r="F6" s="27"/>
      <c r="G6" s="28"/>
      <c r="H6" s="28"/>
      <c r="I6" s="28"/>
      <c r="J6" s="28"/>
      <c r="K6" s="28"/>
      <c r="L6" s="28"/>
      <c r="M6" s="28"/>
    </row>
    <row r="7" spans="1:14" s="32" customFormat="1" ht="15.75">
      <c r="A7" s="142" t="s">
        <v>36</v>
      </c>
      <c r="B7" s="237">
        <f>Määräytymistekijät!C30</f>
        <v>5605317</v>
      </c>
      <c r="C7"/>
      <c r="D7" s="452"/>
      <c r="E7" s="27"/>
      <c r="F7" s="27"/>
      <c r="G7" s="28"/>
      <c r="H7" s="28"/>
      <c r="I7" s="28"/>
      <c r="J7" s="28"/>
      <c r="K7" s="28"/>
      <c r="L7" s="28"/>
      <c r="M7" s="28"/>
    </row>
    <row r="8" spans="1:14" s="32" customFormat="1" ht="15.75">
      <c r="A8" s="142" t="s">
        <v>250</v>
      </c>
      <c r="B8" s="143">
        <f>'Rahoituksen taso 2026'!B8+'Rahoituksen taso 2026'!B12+'Rahoituksen taso 2026'!B13+'Rahoituksen taso 2026'!B20</f>
        <v>26637955642.25861</v>
      </c>
      <c r="C8" s="27"/>
      <c r="D8" s="277"/>
      <c r="E8" s="27"/>
      <c r="F8" s="27"/>
      <c r="G8" s="28"/>
      <c r="H8" s="28"/>
      <c r="I8" s="28"/>
      <c r="J8" s="28"/>
      <c r="K8" s="28"/>
      <c r="L8" s="28"/>
      <c r="M8" s="28"/>
    </row>
    <row r="9" spans="1:14" s="32" customFormat="1" ht="17.25" customHeight="1">
      <c r="A9" s="146" t="s">
        <v>251</v>
      </c>
      <c r="B9" s="485" t="s">
        <v>0</v>
      </c>
      <c r="C9" s="179"/>
      <c r="D9" s="105"/>
      <c r="E9" s="27"/>
      <c r="F9" s="27"/>
      <c r="G9" s="38"/>
      <c r="H9" s="27"/>
      <c r="I9" s="39"/>
      <c r="J9" s="39"/>
      <c r="K9" s="39"/>
      <c r="L9" s="39"/>
      <c r="M9" s="39"/>
    </row>
    <row r="10" spans="1:14" s="32" customFormat="1" ht="17.25" customHeight="1">
      <c r="A10" s="394" t="s">
        <v>383</v>
      </c>
      <c r="B10" s="394">
        <f>SUMIF(Sote_tehtävämuutokset[kohdennus],Sote_laskennallinen_rahoitus_yhteensä[[#This Row],[Laskennallinen sote-rahoitus vuonna 2026]],Sote_tehtävämuutokset[euroa])</f>
        <v>-17258000</v>
      </c>
      <c r="C10" s="179"/>
      <c r="D10" s="105"/>
      <c r="E10" s="27"/>
      <c r="F10" s="27"/>
      <c r="G10" s="38"/>
      <c r="H10" s="27"/>
      <c r="I10" s="39"/>
      <c r="J10" s="39"/>
      <c r="K10" s="39"/>
      <c r="L10" s="39"/>
      <c r="M10" s="39"/>
    </row>
    <row r="11" spans="1:14" s="32" customFormat="1" ht="17.25" customHeight="1">
      <c r="A11" s="394" t="s">
        <v>385</v>
      </c>
      <c r="B11" s="394">
        <f>SUMIF(Sote_tehtävämuutokset[kohdennus],Sote_laskennallinen_rahoitus_yhteensä[[#This Row],[Laskennallinen sote-rahoitus vuonna 2026]],Sote_tehtävämuutokset[euroa])</f>
        <v>0</v>
      </c>
      <c r="C11" s="179"/>
      <c r="D11" s="403"/>
      <c r="E11" s="33"/>
      <c r="F11" s="254"/>
      <c r="G11" s="402"/>
      <c r="H11" s="27"/>
      <c r="I11" s="39"/>
      <c r="J11" s="39"/>
      <c r="K11" s="39"/>
      <c r="L11" s="39"/>
      <c r="M11" s="39"/>
    </row>
    <row r="12" spans="1:14" s="32" customFormat="1" ht="17.25" customHeight="1">
      <c r="A12" s="394" t="s">
        <v>384</v>
      </c>
      <c r="B12" s="394">
        <f>SUMIF(Sote_tehtävämuutokset[kohdennus],Sote_laskennallinen_rahoitus_yhteensä[[#This Row],[Laskennallinen sote-rahoitus vuonna 2026]],Sote_tehtävämuutokset[euroa])</f>
        <v>81000</v>
      </c>
      <c r="C12" s="179"/>
      <c r="D12" s="105"/>
      <c r="E12" s="27"/>
      <c r="F12" s="254"/>
      <c r="G12" s="402"/>
      <c r="H12" s="27"/>
      <c r="I12" s="39"/>
      <c r="J12" s="39"/>
      <c r="K12" s="39"/>
      <c r="L12" s="39"/>
      <c r="M12" s="39"/>
    </row>
    <row r="13" spans="1:14" s="32" customFormat="1" ht="17.25" customHeight="1">
      <c r="A13" s="394" t="s">
        <v>382</v>
      </c>
      <c r="B13" s="394">
        <f>SUMIF(Sote_tehtävämuutokset[kohdennus],Sote_laskennallinen_rahoitus_yhteensä[[#This Row],[Laskennallinen sote-rahoitus vuonna 2026]],Sote_tehtävämuutokset[euroa])</f>
        <v>1000000</v>
      </c>
      <c r="C13" s="179"/>
      <c r="D13" s="105"/>
      <c r="E13" s="27"/>
      <c r="F13" s="254"/>
      <c r="G13" s="402"/>
      <c r="H13" s="27"/>
      <c r="I13" s="39"/>
      <c r="J13" s="39"/>
      <c r="K13" s="39"/>
      <c r="L13" s="39"/>
      <c r="M13" s="39"/>
    </row>
    <row r="14" spans="1:14" s="32" customFormat="1" ht="17.25" customHeight="1">
      <c r="A14" s="490" t="s">
        <v>158</v>
      </c>
      <c r="B14" s="394">
        <f>SUMIF(Sote_tehtävämuutokset[kohdennus],Sote_laskennallinen_rahoitus_yhteensä[[#This Row],[Laskennallinen sote-rahoitus vuonna 2026]],Sote_tehtävämuutokset[euroa])</f>
        <v>-4890174.855891725</v>
      </c>
      <c r="C14" s="179"/>
      <c r="D14" s="403"/>
      <c r="E14" s="27"/>
      <c r="F14" s="254"/>
      <c r="G14" s="402"/>
      <c r="H14" s="27"/>
      <c r="I14" s="39"/>
      <c r="J14" s="39"/>
      <c r="K14" s="39"/>
      <c r="L14" s="39"/>
      <c r="M14" s="39"/>
    </row>
    <row r="15" spans="1:14" s="32" customFormat="1" ht="17.25" customHeight="1">
      <c r="A15" s="395" t="s">
        <v>4</v>
      </c>
      <c r="B15" s="395">
        <f>SUM(B10:B14)</f>
        <v>-21067174.855891727</v>
      </c>
      <c r="C15" s="179"/>
      <c r="D15" s="525"/>
      <c r="E15" s="400"/>
      <c r="F15" s="400"/>
      <c r="G15" s="401"/>
      <c r="H15" s="27"/>
      <c r="I15" s="39"/>
      <c r="J15" s="39"/>
      <c r="K15" s="39"/>
      <c r="L15" s="39"/>
      <c r="M15" s="39"/>
    </row>
    <row r="16" spans="1:14" s="32" customFormat="1" ht="17.25" customHeight="1">
      <c r="A16" s="144" t="s">
        <v>397</v>
      </c>
      <c r="B16" s="145">
        <f>B8+SUM(B10:B14)</f>
        <v>26616888467.402718</v>
      </c>
      <c r="C16" s="33"/>
      <c r="D16" s="251"/>
      <c r="E16" s="27"/>
      <c r="F16" s="29"/>
      <c r="G16" s="401"/>
      <c r="H16" s="27"/>
      <c r="I16" s="39"/>
      <c r="J16" s="39"/>
      <c r="K16" s="39"/>
      <c r="L16" s="39"/>
      <c r="M16" s="124"/>
    </row>
    <row r="17" spans="1:15" s="32" customFormat="1" ht="34.5" customHeight="1">
      <c r="A17" s="490"/>
      <c r="B17" s="523"/>
      <c r="C17" s="524"/>
      <c r="N17" s="39"/>
    </row>
    <row r="18" spans="1:15" s="32" customFormat="1" ht="17.25" thickBot="1">
      <c r="A18" s="174" t="s">
        <v>167</v>
      </c>
      <c r="B18" s="173"/>
      <c r="C18" s="173"/>
      <c r="D18" s="173"/>
      <c r="E18" s="173"/>
      <c r="F18" s="173"/>
      <c r="G18" s="173"/>
      <c r="H18" s="173"/>
      <c r="I18" s="173"/>
      <c r="J18" s="173"/>
      <c r="K18" s="173"/>
      <c r="L18" s="173"/>
      <c r="M18" s="173"/>
      <c r="N18" s="173"/>
    </row>
    <row r="19" spans="1:15" s="32" customFormat="1" ht="16.5" thickTop="1">
      <c r="A19" s="396" t="s">
        <v>176</v>
      </c>
      <c r="B19" s="551" t="s">
        <v>158</v>
      </c>
      <c r="C19" s="551" t="s">
        <v>168</v>
      </c>
      <c r="D19" s="550" t="s">
        <v>159</v>
      </c>
      <c r="E19" s="550" t="s">
        <v>160</v>
      </c>
      <c r="F19" s="550" t="s">
        <v>161</v>
      </c>
      <c r="G19" s="549" t="s">
        <v>162</v>
      </c>
      <c r="H19" s="551" t="s">
        <v>163</v>
      </c>
      <c r="I19" s="551" t="s">
        <v>12</v>
      </c>
      <c r="J19" s="551" t="s">
        <v>164</v>
      </c>
      <c r="K19" s="551" t="s">
        <v>165</v>
      </c>
      <c r="L19" s="548" t="s">
        <v>166</v>
      </c>
      <c r="M19" s="548" t="s">
        <v>180</v>
      </c>
      <c r="N19" s="547" t="s">
        <v>4</v>
      </c>
    </row>
    <row r="20" spans="1:15" s="200" customFormat="1">
      <c r="A20" s="554" t="s">
        <v>386</v>
      </c>
      <c r="B20" s="555">
        <v>0.13079534531770867</v>
      </c>
      <c r="C20" s="555">
        <v>0.80774894165286215</v>
      </c>
      <c r="D20" s="555">
        <v>0.44395145335598868</v>
      </c>
      <c r="E20" s="555">
        <v>0.16978496637674323</v>
      </c>
      <c r="F20" s="555">
        <v>0.1940125219201303</v>
      </c>
      <c r="G20" s="555">
        <v>1.9858069002188273E-2</v>
      </c>
      <c r="H20" s="555">
        <v>4.959404462441459E-3</v>
      </c>
      <c r="I20" s="555">
        <v>1.4898664539746816E-2</v>
      </c>
      <c r="J20" s="555">
        <v>1.1248133832341453E-3</v>
      </c>
      <c r="K20" s="555">
        <v>1.4929341268380473E-2</v>
      </c>
      <c r="L20" s="555">
        <v>1.3293249074585353E-4</v>
      </c>
      <c r="M20" s="555">
        <v>5.5524878826921902E-3</v>
      </c>
      <c r="N20" s="556">
        <f>B20+SUM(D20:M20)</f>
        <v>1.0000000000000002</v>
      </c>
    </row>
    <row r="21" spans="1:15" s="32" customFormat="1" ht="15.75">
      <c r="A21" s="199" t="s">
        <v>387</v>
      </c>
      <c r="B21" s="46">
        <f>B20*($B$8+$B$13)+B14</f>
        <v>3479361227.2764468</v>
      </c>
      <c r="C21" s="46"/>
      <c r="D21" s="46">
        <f>D20*($B$8+$B$13)+B10</f>
        <v>11809145073.266424</v>
      </c>
      <c r="E21" s="46">
        <f>E20*($B$8+$B$13)+B11</f>
        <v>4522894188.0324326</v>
      </c>
      <c r="F21" s="46">
        <f>F20*($B$8+$B$13)+B12</f>
        <v>5168371965.4730768</v>
      </c>
      <c r="G21" s="46">
        <f>G20*($B$8+$B$13)</f>
        <v>528998219.29020411</v>
      </c>
      <c r="H21" s="46">
        <f t="shared" ref="H21:M21" si="0">H20*($B$8+$B$13)</f>
        <v>132113355.48699743</v>
      </c>
      <c r="I21" s="46">
        <f t="shared" si="0"/>
        <v>396884863.80320668</v>
      </c>
      <c r="J21" s="46">
        <f t="shared" si="0"/>
        <v>29963853.821793228</v>
      </c>
      <c r="K21" s="46">
        <f t="shared" si="0"/>
        <v>397702059.81652832</v>
      </c>
      <c r="L21" s="393">
        <f t="shared" si="0"/>
        <v>3541182.7243937454</v>
      </c>
      <c r="M21" s="393">
        <f t="shared" si="0"/>
        <v>147912478.41121569</v>
      </c>
      <c r="N21" s="96">
        <f>B21+SUM(D21:M21)</f>
        <v>26616888467.402718</v>
      </c>
      <c r="O21" s="139"/>
    </row>
    <row r="22" spans="1:15" s="32" customFormat="1" ht="15.75">
      <c r="A22" s="197" t="s">
        <v>219</v>
      </c>
      <c r="B22" s="187">
        <f>B21/$B$7</f>
        <v>620.72514851103813</v>
      </c>
      <c r="C22" s="188"/>
      <c r="D22" s="187">
        <f>D21/$B$7</f>
        <v>2106.7755977523525</v>
      </c>
      <c r="E22" s="187">
        <f>E21/$B$7</f>
        <v>806.89355981694393</v>
      </c>
      <c r="F22" s="187">
        <f>F21/$B$7</f>
        <v>922.04811350956186</v>
      </c>
      <c r="G22" s="187">
        <f>G21/G50</f>
        <v>871.4904997169773</v>
      </c>
      <c r="H22" s="187">
        <f>H21/H50</f>
        <v>530.40318405256698</v>
      </c>
      <c r="I22" s="187">
        <f>I21/B7</f>
        <v>70.805070222291917</v>
      </c>
      <c r="J22" s="187">
        <f>J21/J50</f>
        <v>887.13446890671571</v>
      </c>
      <c r="K22" s="187">
        <f>K21/B7</f>
        <v>70.950859659949359</v>
      </c>
      <c r="L22" s="189">
        <f>L21/L50</f>
        <v>2231.3690764925932</v>
      </c>
      <c r="M22" s="189">
        <f>M21/M50</f>
        <v>42.385794652623609</v>
      </c>
      <c r="N22" s="198"/>
    </row>
    <row r="23" spans="1:15" s="125" customFormat="1" ht="18.600000000000001" customHeight="1">
      <c r="A23" s="135" t="s">
        <v>388</v>
      </c>
      <c r="B23" s="136">
        <f>B21/$B$16</f>
        <v>0.13072005886554192</v>
      </c>
      <c r="C23" s="136">
        <f>SUM(D21:F21)/$B$16</f>
        <v>0.80777327722220982</v>
      </c>
      <c r="D23" s="136">
        <f t="shared" ref="D23:M23" si="1">D21/$B$16</f>
        <v>0.44367113337567227</v>
      </c>
      <c r="E23" s="136">
        <f t="shared" si="1"/>
        <v>0.1699257294319563</v>
      </c>
      <c r="F23" s="136">
        <f t="shared" si="1"/>
        <v>0.19417641441458119</v>
      </c>
      <c r="G23" s="136">
        <f t="shared" si="1"/>
        <v>1.9874532665155802E-2</v>
      </c>
      <c r="H23" s="136">
        <f t="shared" si="1"/>
        <v>4.9635161393411769E-3</v>
      </c>
      <c r="I23" s="136">
        <f t="shared" si="1"/>
        <v>1.4911016525814627E-2</v>
      </c>
      <c r="J23" s="136">
        <f t="shared" si="1"/>
        <v>1.12574592851037E-3</v>
      </c>
      <c r="K23" s="136">
        <f t="shared" si="1"/>
        <v>1.4941718687501274E-2</v>
      </c>
      <c r="L23" s="136">
        <f t="shared" si="1"/>
        <v>1.3304270064213463E-4</v>
      </c>
      <c r="M23" s="136">
        <f t="shared" si="1"/>
        <v>5.5570912652830092E-3</v>
      </c>
      <c r="N23" s="399">
        <f>B23+SUM(D23:M23)</f>
        <v>1.0000000000000002</v>
      </c>
    </row>
    <row r="24" spans="1:15" s="125" customFormat="1" ht="18.600000000000001" customHeight="1">
      <c r="A24" s="191"/>
      <c r="B24" s="192"/>
      <c r="C24" s="192"/>
      <c r="D24" s="192"/>
      <c r="E24" s="192"/>
      <c r="F24" s="192"/>
      <c r="G24" s="192"/>
      <c r="H24" s="192"/>
      <c r="I24" s="192"/>
      <c r="J24" s="192"/>
      <c r="K24" s="192"/>
      <c r="L24" s="192"/>
      <c r="M24" s="192"/>
      <c r="N24" s="256"/>
    </row>
    <row r="25" spans="1:15" s="125" customFormat="1">
      <c r="A25" s="191"/>
      <c r="B25" s="192"/>
      <c r="C25" s="192"/>
      <c r="D25" s="192"/>
      <c r="E25" s="192"/>
      <c r="F25" s="192"/>
      <c r="G25" s="192"/>
      <c r="H25" s="192"/>
      <c r="I25" s="192"/>
      <c r="J25" s="192"/>
      <c r="K25" s="192"/>
      <c r="L25" s="192"/>
      <c r="M25" s="192"/>
      <c r="N25" s="193"/>
    </row>
    <row r="26" spans="1:15" s="32" customFormat="1" ht="17.25" thickBot="1">
      <c r="A26" s="173" t="s">
        <v>213</v>
      </c>
      <c r="B26" s="173"/>
      <c r="C26" s="173"/>
      <c r="D26" s="173"/>
      <c r="E26" s="173"/>
      <c r="F26" s="173"/>
      <c r="G26" s="173"/>
      <c r="H26" s="173"/>
      <c r="I26" s="173"/>
      <c r="J26" s="173"/>
      <c r="K26" s="173"/>
      <c r="L26" s="173"/>
      <c r="M26" s="173"/>
      <c r="N26" s="51"/>
    </row>
    <row r="27" spans="1:15" s="32" customFormat="1" ht="63" customHeight="1" thickTop="1">
      <c r="A27" s="52" t="s">
        <v>6</v>
      </c>
      <c r="B27" s="36" t="s">
        <v>7</v>
      </c>
      <c r="C27" s="53" t="s">
        <v>36</v>
      </c>
      <c r="D27" s="54" t="s">
        <v>169</v>
      </c>
      <c r="E27" s="54" t="s">
        <v>170</v>
      </c>
      <c r="F27" s="54" t="s">
        <v>171</v>
      </c>
      <c r="G27" s="54" t="s">
        <v>10</v>
      </c>
      <c r="H27" s="55" t="s">
        <v>8</v>
      </c>
      <c r="I27" s="53" t="s">
        <v>37</v>
      </c>
      <c r="J27" s="55" t="s">
        <v>172</v>
      </c>
      <c r="K27" s="56" t="s">
        <v>220</v>
      </c>
      <c r="L27" s="55" t="s">
        <v>173</v>
      </c>
      <c r="M27" s="122" t="s">
        <v>181</v>
      </c>
      <c r="N27" s="57"/>
    </row>
    <row r="28" spans="1:15" s="32" customFormat="1">
      <c r="A28" s="58">
        <v>31</v>
      </c>
      <c r="B28" s="175" t="s">
        <v>14</v>
      </c>
      <c r="C28" s="255">
        <f>Määräytymistekijät!C8</f>
        <v>684018</v>
      </c>
      <c r="D28" s="271">
        <f>Tarvekertoimet!J8</f>
        <v>0.91044173611120249</v>
      </c>
      <c r="E28" s="271">
        <f>Tarvekertoimet!K8</f>
        <v>0.79261389649682645</v>
      </c>
      <c r="F28" s="271">
        <f>Tarvekertoimet!L8</f>
        <v>0.83630672573341647</v>
      </c>
      <c r="G28" s="59">
        <f>Määräytymistekijät!F8</f>
        <v>139832</v>
      </c>
      <c r="H28" s="59">
        <f>Määräytymistekijät!D8</f>
        <v>36945</v>
      </c>
      <c r="I28" s="60">
        <f>Määräytymistekijät!I8</f>
        <v>5.814018167768914E-3</v>
      </c>
      <c r="J28" s="59">
        <f>Määräytymistekijät!J8</f>
        <v>0</v>
      </c>
      <c r="K28" s="257">
        <f>'Hyte-kerroin'!G7</f>
        <v>0.87706159719596877</v>
      </c>
      <c r="L28" s="59">
        <f>Määräytymistekijät!E8</f>
        <v>0</v>
      </c>
      <c r="M28" s="123">
        <f t="shared" ref="M28:M33" si="2">C28</f>
        <v>684018</v>
      </c>
      <c r="N28" s="61"/>
    </row>
    <row r="29" spans="1:15" s="32" customFormat="1">
      <c r="A29" s="62">
        <v>32</v>
      </c>
      <c r="B29" s="176" t="s">
        <v>41</v>
      </c>
      <c r="C29" s="255">
        <f>Määräytymistekijät!C9</f>
        <v>289730</v>
      </c>
      <c r="D29" s="271">
        <f>Tarvekertoimet!J9</f>
        <v>0.93027433207604759</v>
      </c>
      <c r="E29" s="271">
        <f>Tarvekertoimet!K9</f>
        <v>0.65099819250721769</v>
      </c>
      <c r="F29" s="271">
        <f>Tarvekertoimet!L9</f>
        <v>0.89912222644113593</v>
      </c>
      <c r="G29" s="59">
        <f>Määräytymistekijät!F9</f>
        <v>78809</v>
      </c>
      <c r="H29" s="59">
        <f>Määräytymistekijät!D9</f>
        <v>5791</v>
      </c>
      <c r="I29" s="60">
        <f>Määräytymistekijät!I9</f>
        <v>1.7209249029257766E-2</v>
      </c>
      <c r="J29" s="59">
        <f>Määräytymistekijät!J9</f>
        <v>0</v>
      </c>
      <c r="K29" s="257">
        <f>'Hyte-kerroin'!G8</f>
        <v>0.58107148816117393</v>
      </c>
      <c r="L29" s="59">
        <f>Määräytymistekijät!E9</f>
        <v>0</v>
      </c>
      <c r="M29" s="123">
        <f t="shared" si="2"/>
        <v>289730</v>
      </c>
      <c r="N29" s="61"/>
    </row>
    <row r="30" spans="1:15" s="32" customFormat="1">
      <c r="A30" s="62">
        <v>33</v>
      </c>
      <c r="B30" s="176" t="s">
        <v>15</v>
      </c>
      <c r="C30" s="255">
        <f>Määräytymistekijät!C10</f>
        <v>502067</v>
      </c>
      <c r="D30" s="271">
        <f>Tarvekertoimet!J10</f>
        <v>0.84588791727856028</v>
      </c>
      <c r="E30" s="271">
        <f>Tarvekertoimet!K10</f>
        <v>0.63870445847148694</v>
      </c>
      <c r="F30" s="271">
        <f>Tarvekertoimet!L10</f>
        <v>0.74429238443081214</v>
      </c>
      <c r="G30" s="59">
        <f>Määräytymistekijät!F10</f>
        <v>95640</v>
      </c>
      <c r="H30" s="59">
        <f>Määräytymistekijät!D10</f>
        <v>56271</v>
      </c>
      <c r="I30" s="60">
        <f>Määräytymistekijät!I10</f>
        <v>0.15698706553160433</v>
      </c>
      <c r="J30" s="59">
        <f>Määräytymistekijät!J10</f>
        <v>0</v>
      </c>
      <c r="K30" s="257">
        <f>'Hyte-kerroin'!G9</f>
        <v>1.1152392083428613</v>
      </c>
      <c r="L30" s="59">
        <f>Määräytymistekijät!E10</f>
        <v>0</v>
      </c>
      <c r="M30" s="123">
        <f t="shared" si="2"/>
        <v>502067</v>
      </c>
      <c r="N30" s="61"/>
    </row>
    <row r="31" spans="1:15" s="32" customFormat="1">
      <c r="A31" s="62">
        <v>34</v>
      </c>
      <c r="B31" s="176" t="s">
        <v>16</v>
      </c>
      <c r="C31" s="255">
        <f>Määräytymistekijät!C11</f>
        <v>99415</v>
      </c>
      <c r="D31" s="271">
        <f>Tarvekertoimet!J11</f>
        <v>0.96409996771049522</v>
      </c>
      <c r="E31" s="271">
        <f>Tarvekertoimet!K11</f>
        <v>0.91564871687802141</v>
      </c>
      <c r="F31" s="271">
        <f>Tarvekertoimet!L11</f>
        <v>0.80780103868265807</v>
      </c>
      <c r="G31" s="59">
        <f>Määräytymistekijät!F11</f>
        <v>7922</v>
      </c>
      <c r="H31" s="59">
        <f>Määräytymistekijät!D11</f>
        <v>27079</v>
      </c>
      <c r="I31" s="60">
        <f>Määräytymistekijät!I11</f>
        <v>0.50382126580725783</v>
      </c>
      <c r="J31" s="59">
        <f>Määräytymistekijät!J11</f>
        <v>0</v>
      </c>
      <c r="K31" s="257">
        <f>'Hyte-kerroin'!G10</f>
        <v>1.1151082995774573</v>
      </c>
      <c r="L31" s="59">
        <f>Määräytymistekijät!E11</f>
        <v>0</v>
      </c>
      <c r="M31" s="123">
        <f t="shared" si="2"/>
        <v>99415</v>
      </c>
      <c r="N31" s="61"/>
    </row>
    <row r="32" spans="1:15" s="32" customFormat="1">
      <c r="A32" s="62">
        <v>35</v>
      </c>
      <c r="B32" s="176" t="s">
        <v>17</v>
      </c>
      <c r="C32" s="255">
        <f>Määräytymistekijät!C12</f>
        <v>207070</v>
      </c>
      <c r="D32" s="271">
        <f>Tarvekertoimet!J12</f>
        <v>0.91276792915008353</v>
      </c>
      <c r="E32" s="271">
        <f>Tarvekertoimet!K12</f>
        <v>0.73243689464695472</v>
      </c>
      <c r="F32" s="271">
        <f>Tarvekertoimet!L12</f>
        <v>0.82112359037591398</v>
      </c>
      <c r="G32" s="59">
        <f>Määräytymistekijät!F12</f>
        <v>17277</v>
      </c>
      <c r="H32" s="59">
        <f>Määräytymistekijät!D12</f>
        <v>0</v>
      </c>
      <c r="I32" s="60">
        <f>Määräytymistekijät!I12</f>
        <v>0.14944491406708935</v>
      </c>
      <c r="J32" s="59">
        <f>Määräytymistekijät!J12</f>
        <v>0</v>
      </c>
      <c r="K32" s="257">
        <f>'Hyte-kerroin'!G11</f>
        <v>0.61329769196779005</v>
      </c>
      <c r="L32" s="59">
        <f>Määräytymistekijät!E12</f>
        <v>0</v>
      </c>
      <c r="M32" s="123">
        <f t="shared" si="2"/>
        <v>207070</v>
      </c>
      <c r="N32" s="61"/>
    </row>
    <row r="33" spans="1:14" s="32" customFormat="1">
      <c r="A33" s="63">
        <v>2</v>
      </c>
      <c r="B33" s="176" t="s">
        <v>18</v>
      </c>
      <c r="C33" s="255">
        <f>Määräytymistekijät!C13</f>
        <v>494819</v>
      </c>
      <c r="D33" s="271">
        <f>Tarvekertoimet!J13</f>
        <v>1.0480850241436908</v>
      </c>
      <c r="E33" s="271">
        <f>Tarvekertoimet!K13</f>
        <v>1.0872468629205105</v>
      </c>
      <c r="F33" s="271">
        <f>Tarvekertoimet!L13</f>
        <v>1.0250666620481961</v>
      </c>
      <c r="G33" s="59">
        <f>Määräytymistekijät!F13</f>
        <v>54605</v>
      </c>
      <c r="H33" s="59">
        <f>Määräytymistekijät!D13</f>
        <v>27561</v>
      </c>
      <c r="I33" s="60">
        <f>Määräytymistekijät!I13</f>
        <v>0.39988880393759701</v>
      </c>
      <c r="J33" s="59">
        <f>Määräytymistekijät!J13</f>
        <v>21871</v>
      </c>
      <c r="K33" s="257">
        <f>'Hyte-kerroin'!G12</f>
        <v>0.95100826729047439</v>
      </c>
      <c r="L33" s="59">
        <f>Määräytymistekijät!E13</f>
        <v>0</v>
      </c>
      <c r="M33" s="123">
        <f t="shared" si="2"/>
        <v>494819</v>
      </c>
      <c r="N33" s="61"/>
    </row>
    <row r="34" spans="1:14" s="32" customFormat="1">
      <c r="A34" s="63">
        <v>4</v>
      </c>
      <c r="B34" s="176" t="s">
        <v>19</v>
      </c>
      <c r="C34" s="255">
        <f>Määräytymistekijät!C14</f>
        <v>211261</v>
      </c>
      <c r="D34" s="271">
        <f>Tarvekertoimet!J14</f>
        <v>1.0410854761626893</v>
      </c>
      <c r="E34" s="271">
        <f>Tarvekertoimet!K14</f>
        <v>1.1663282235264014</v>
      </c>
      <c r="F34" s="271">
        <f>Tarvekertoimet!L14</f>
        <v>1.0980157974378475</v>
      </c>
      <c r="G34" s="59">
        <f>Määräytymistekijät!F14</f>
        <v>12572</v>
      </c>
      <c r="H34" s="59">
        <f>Määräytymistekijät!D14</f>
        <v>0</v>
      </c>
      <c r="I34" s="60">
        <f>Määräytymistekijät!I14</f>
        <v>0.68631527015359717</v>
      </c>
      <c r="J34" s="59">
        <f>Määräytymistekijät!J14</f>
        <v>0</v>
      </c>
      <c r="K34" s="257">
        <f>'Hyte-kerroin'!G13</f>
        <v>0.92919853170456512</v>
      </c>
      <c r="L34" s="59">
        <f>Määräytymistekijät!E14</f>
        <v>0</v>
      </c>
      <c r="M34" s="123"/>
      <c r="N34" s="61"/>
    </row>
    <row r="35" spans="1:14" s="32" customFormat="1">
      <c r="A35" s="63">
        <v>5</v>
      </c>
      <c r="B35" s="176" t="s">
        <v>20</v>
      </c>
      <c r="C35" s="255">
        <f>Määräytymistekijät!C15</f>
        <v>169455</v>
      </c>
      <c r="D35" s="271">
        <f>Tarvekertoimet!J15</f>
        <v>1.0462621212162693</v>
      </c>
      <c r="E35" s="271">
        <f>Tarvekertoimet!K15</f>
        <v>1.1108774265915609</v>
      </c>
      <c r="F35" s="271">
        <f>Tarvekertoimet!L15</f>
        <v>1.0077581932327686</v>
      </c>
      <c r="G35" s="59">
        <f>Määräytymistekijät!F15</f>
        <v>11117</v>
      </c>
      <c r="H35" s="59">
        <f>Määräytymistekijät!D15</f>
        <v>0</v>
      </c>
      <c r="I35" s="60">
        <f>Määräytymistekijät!I15</f>
        <v>0.56868953003191325</v>
      </c>
      <c r="J35" s="59">
        <f>Määräytymistekijät!J15</f>
        <v>0</v>
      </c>
      <c r="K35" s="257">
        <f>'Hyte-kerroin'!G14</f>
        <v>1.1266081056128423</v>
      </c>
      <c r="L35" s="59">
        <f>Määräytymistekijät!E15</f>
        <v>0</v>
      </c>
      <c r="M35" s="123"/>
      <c r="N35" s="61"/>
    </row>
    <row r="36" spans="1:14" s="32" customFormat="1">
      <c r="A36" s="63">
        <v>6</v>
      </c>
      <c r="B36" s="176" t="s">
        <v>21</v>
      </c>
      <c r="C36" s="255">
        <f>Määräytymistekijät!C16</f>
        <v>545406</v>
      </c>
      <c r="D36" s="271">
        <f>Tarvekertoimet!J16</f>
        <v>1.0139289491174381</v>
      </c>
      <c r="E36" s="271">
        <f>Tarvekertoimet!K16</f>
        <v>0.98241396094356415</v>
      </c>
      <c r="F36" s="271">
        <f>Tarvekertoimet!L16</f>
        <v>0.95458658993821699</v>
      </c>
      <c r="G36" s="59">
        <f>Määräytymistekijät!F16</f>
        <v>40361</v>
      </c>
      <c r="H36" s="59">
        <f>Määräytymistekijät!D16</f>
        <v>0</v>
      </c>
      <c r="I36" s="60">
        <f>Määräytymistekijät!I16</f>
        <v>0.45021452441887094</v>
      </c>
      <c r="J36" s="59">
        <f>Määräytymistekijät!J16</f>
        <v>0</v>
      </c>
      <c r="K36" s="257">
        <f>'Hyte-kerroin'!G15</f>
        <v>0.9530318527740812</v>
      </c>
      <c r="L36" s="59">
        <f>Määräytymistekijät!E16</f>
        <v>0</v>
      </c>
      <c r="M36" s="123">
        <f>C36</f>
        <v>545406</v>
      </c>
      <c r="N36" s="61"/>
    </row>
    <row r="37" spans="1:14" s="32" customFormat="1">
      <c r="A37" s="63">
        <v>7</v>
      </c>
      <c r="B37" s="176" t="s">
        <v>22</v>
      </c>
      <c r="C37" s="255">
        <f>Määräytymistekijät!C17</f>
        <v>204635</v>
      </c>
      <c r="D37" s="271">
        <f>Tarvekertoimet!J17</f>
        <v>1.0664068430245903</v>
      </c>
      <c r="E37" s="271">
        <f>Tarvekertoimet!K17</f>
        <v>1.1439580612969791</v>
      </c>
      <c r="F37" s="271">
        <f>Tarvekertoimet!L17</f>
        <v>1.0618185266799982</v>
      </c>
      <c r="G37" s="59">
        <f>Määräytymistekijät!F17</f>
        <v>15996</v>
      </c>
      <c r="H37" s="59">
        <f>Määräytymistekijät!D17</f>
        <v>0</v>
      </c>
      <c r="I37" s="60">
        <f>Määräytymistekijät!I17</f>
        <v>0.5176558719195884</v>
      </c>
      <c r="J37" s="59">
        <f>Määräytymistekijät!J17</f>
        <v>0</v>
      </c>
      <c r="K37" s="257">
        <f>'Hyte-kerroin'!G16</f>
        <v>1.2730343319948958</v>
      </c>
      <c r="L37" s="59">
        <f>Määräytymistekijät!E17</f>
        <v>0</v>
      </c>
      <c r="M37" s="123"/>
      <c r="N37" s="61"/>
    </row>
    <row r="38" spans="1:14" s="32" customFormat="1">
      <c r="A38" s="63">
        <v>8</v>
      </c>
      <c r="B38" s="176" t="s">
        <v>23</v>
      </c>
      <c r="C38" s="255">
        <f>Määräytymistekijät!C18</f>
        <v>157442</v>
      </c>
      <c r="D38" s="271">
        <f>Tarvekertoimet!J18</f>
        <v>1.1260531844771018</v>
      </c>
      <c r="E38" s="271">
        <f>Tarvekertoimet!K18</f>
        <v>1.4048960441043783</v>
      </c>
      <c r="F38" s="271">
        <f>Tarvekertoimet!L18</f>
        <v>1.1514455563317594</v>
      </c>
      <c r="G38" s="59">
        <f>Määräytymistekijät!F18</f>
        <v>12390</v>
      </c>
      <c r="H38" s="59">
        <f>Määräytymistekijät!D18</f>
        <v>1163</v>
      </c>
      <c r="I38" s="60">
        <f>Määräytymistekijät!I18</f>
        <v>0.53671846084446073</v>
      </c>
      <c r="J38" s="59">
        <f>Määräytymistekijät!J18</f>
        <v>0</v>
      </c>
      <c r="K38" s="257">
        <f>'Hyte-kerroin'!G17</f>
        <v>0.83293070981385442</v>
      </c>
      <c r="L38" s="59">
        <f>Määräytymistekijät!E18</f>
        <v>0</v>
      </c>
      <c r="M38" s="123"/>
      <c r="N38" s="61"/>
    </row>
    <row r="39" spans="1:14" s="32" customFormat="1">
      <c r="A39" s="63">
        <v>9</v>
      </c>
      <c r="B39" s="176" t="s">
        <v>24</v>
      </c>
      <c r="C39" s="255">
        <f>Määräytymistekijät!C19</f>
        <v>125083</v>
      </c>
      <c r="D39" s="271">
        <f>Tarvekertoimet!J19</f>
        <v>1.0033698541119382</v>
      </c>
      <c r="E39" s="271">
        <f>Tarvekertoimet!K19</f>
        <v>1.1654954579487924</v>
      </c>
      <c r="F39" s="271">
        <f>Tarvekertoimet!L19</f>
        <v>0.96098321308191403</v>
      </c>
      <c r="G39" s="59">
        <f>Määräytymistekijät!F19</f>
        <v>11799</v>
      </c>
      <c r="H39" s="59">
        <f>Määräytymistekijät!D19</f>
        <v>0</v>
      </c>
      <c r="I39" s="60">
        <f>Määräytymistekijät!I19</f>
        <v>0.78934488705245431</v>
      </c>
      <c r="J39" s="59">
        <f>Määräytymistekijät!J19</f>
        <v>0</v>
      </c>
      <c r="K39" s="257">
        <f>'Hyte-kerroin'!G18</f>
        <v>1.0127094286565781</v>
      </c>
      <c r="L39" s="59">
        <f>Määräytymistekijät!E19</f>
        <v>0</v>
      </c>
      <c r="M39" s="123"/>
      <c r="N39" s="61"/>
    </row>
    <row r="40" spans="1:14" s="32" customFormat="1">
      <c r="A40" s="63">
        <v>10</v>
      </c>
      <c r="B40" s="176" t="s">
        <v>25</v>
      </c>
      <c r="C40" s="255">
        <f>Määräytymistekijät!C20</f>
        <v>129376</v>
      </c>
      <c r="D40" s="271">
        <f>Tarvekertoimet!J20</f>
        <v>1.1560482140969064</v>
      </c>
      <c r="E40" s="271">
        <f>Tarvekertoimet!K20</f>
        <v>1.4815885146908325</v>
      </c>
      <c r="F40" s="271">
        <f>Tarvekertoimet!L20</f>
        <v>1.2016786164591797</v>
      </c>
      <c r="G40" s="59">
        <f>Määräytymistekijät!F20</f>
        <v>7545</v>
      </c>
      <c r="H40" s="59">
        <f>Määräytymistekijät!D20</f>
        <v>0</v>
      </c>
      <c r="I40" s="60">
        <f>Määräytymistekijät!I20</f>
        <v>1.8125485868731592</v>
      </c>
      <c r="J40" s="59">
        <f>Määräytymistekijät!J20</f>
        <v>5620</v>
      </c>
      <c r="K40" s="257">
        <f>'Hyte-kerroin'!G19</f>
        <v>1.3362650490694596</v>
      </c>
      <c r="L40" s="59">
        <f>Määräytymistekijät!E20</f>
        <v>0</v>
      </c>
      <c r="M40" s="123"/>
      <c r="N40" s="61"/>
    </row>
    <row r="41" spans="1:14" s="32" customFormat="1">
      <c r="A41" s="63">
        <v>11</v>
      </c>
      <c r="B41" s="176" t="s">
        <v>26</v>
      </c>
      <c r="C41" s="255">
        <f>Määräytymistekijät!C21</f>
        <v>248815</v>
      </c>
      <c r="D41" s="271">
        <f>Tarvekertoimet!J21</f>
        <v>1.0911693349241707</v>
      </c>
      <c r="E41" s="271">
        <f>Tarvekertoimet!K21</f>
        <v>1.2002380809136419</v>
      </c>
      <c r="F41" s="271">
        <f>Tarvekertoimet!L21</f>
        <v>1.1831332385004807</v>
      </c>
      <c r="G41" s="59">
        <f>Määräytymistekijät!F21</f>
        <v>13079</v>
      </c>
      <c r="H41" s="59">
        <f>Määräytymistekijät!D21</f>
        <v>0</v>
      </c>
      <c r="I41" s="60">
        <f>Määräytymistekijät!I21</f>
        <v>1.2920563754165277</v>
      </c>
      <c r="J41" s="59">
        <f>Määräytymistekijät!J21</f>
        <v>0</v>
      </c>
      <c r="K41" s="257">
        <f>'Hyte-kerroin'!G20</f>
        <v>1.3282839394865655</v>
      </c>
      <c r="L41" s="59">
        <f>Määräytymistekijät!E21</f>
        <v>0</v>
      </c>
      <c r="M41" s="123">
        <f>C41</f>
        <v>248815</v>
      </c>
      <c r="N41" s="61"/>
    </row>
    <row r="42" spans="1:14" s="32" customFormat="1">
      <c r="A42" s="63">
        <v>12</v>
      </c>
      <c r="B42" s="176" t="s">
        <v>27</v>
      </c>
      <c r="C42" s="255">
        <f>Määräytymistekijät!C22</f>
        <v>162091</v>
      </c>
      <c r="D42" s="271">
        <f>Tarvekertoimet!J22</f>
        <v>1.1929320733825888</v>
      </c>
      <c r="E42" s="271">
        <f>Tarvekertoimet!K22</f>
        <v>1.3280606294550634</v>
      </c>
      <c r="F42" s="271">
        <f>Tarvekertoimet!L22</f>
        <v>1.2728947389542946</v>
      </c>
      <c r="G42" s="59">
        <f>Määräytymistekijät!F22</f>
        <v>10668</v>
      </c>
      <c r="H42" s="59">
        <f>Määräytymistekijät!D22</f>
        <v>0</v>
      </c>
      <c r="I42" s="60">
        <f>Määräytymistekijät!I22</f>
        <v>2.1488962947117893</v>
      </c>
      <c r="J42" s="59">
        <f>Määräytymistekijät!J22</f>
        <v>0</v>
      </c>
      <c r="K42" s="257">
        <f>'Hyte-kerroin'!G21</f>
        <v>0.88864029448694726</v>
      </c>
      <c r="L42" s="59">
        <f>Määräytymistekijät!E22</f>
        <v>0</v>
      </c>
      <c r="M42" s="123"/>
      <c r="N42" s="61"/>
    </row>
    <row r="43" spans="1:14" s="32" customFormat="1">
      <c r="A43" s="63">
        <v>13</v>
      </c>
      <c r="B43" s="176" t="s">
        <v>28</v>
      </c>
      <c r="C43" s="255">
        <f>Määräytymistekijät!C23</f>
        <v>274112</v>
      </c>
      <c r="D43" s="271">
        <f>Tarvekertoimet!J23</f>
        <v>0.97065873495474608</v>
      </c>
      <c r="E43" s="271">
        <f>Tarvekertoimet!K23</f>
        <v>1.0152494404247372</v>
      </c>
      <c r="F43" s="271">
        <f>Tarvekertoimet!L23</f>
        <v>1.0208699579123053</v>
      </c>
      <c r="G43" s="59">
        <f>Määräytymistekijät!F23</f>
        <v>15016</v>
      </c>
      <c r="H43" s="59">
        <f>Määräytymistekijät!D23</f>
        <v>0</v>
      </c>
      <c r="I43" s="60">
        <f>Määräytymistekijät!I23</f>
        <v>1.0846813995591487</v>
      </c>
      <c r="J43" s="59">
        <f>Määräytymistekijät!J23</f>
        <v>0</v>
      </c>
      <c r="K43" s="257">
        <f>'Hyte-kerroin'!G22</f>
        <v>0.95461065324076888</v>
      </c>
      <c r="L43" s="59">
        <f>Määräytymistekijät!E23</f>
        <v>0</v>
      </c>
      <c r="M43" s="123"/>
      <c r="N43" s="61"/>
    </row>
    <row r="44" spans="1:14" s="32" customFormat="1">
      <c r="A44" s="63">
        <v>14</v>
      </c>
      <c r="B44" s="176" t="s">
        <v>29</v>
      </c>
      <c r="C44" s="255">
        <f>Määräytymistekijät!C24</f>
        <v>189929</v>
      </c>
      <c r="D44" s="271">
        <f>Tarvekertoimet!J24</f>
        <v>1.0939828972991306</v>
      </c>
      <c r="E44" s="271">
        <f>Tarvekertoimet!K24</f>
        <v>1.2784978065257202</v>
      </c>
      <c r="F44" s="271">
        <f>Tarvekertoimet!L24</f>
        <v>1.0951303426742123</v>
      </c>
      <c r="G44" s="59">
        <f>Määräytymistekijät!F24</f>
        <v>8229</v>
      </c>
      <c r="H44" s="59">
        <f>Määräytymistekijät!D24</f>
        <v>0</v>
      </c>
      <c r="I44" s="60">
        <f>Määräytymistekijät!I24</f>
        <v>1.3464763582131165</v>
      </c>
      <c r="J44" s="59">
        <f>Määräytymistekijät!J24</f>
        <v>0</v>
      </c>
      <c r="K44" s="257">
        <f>'Hyte-kerroin'!G23</f>
        <v>1.7315254253440802</v>
      </c>
      <c r="L44" s="59">
        <f>Määräytymistekijät!E24</f>
        <v>0</v>
      </c>
      <c r="M44" s="123"/>
      <c r="N44" s="61"/>
    </row>
    <row r="45" spans="1:14" s="32" customFormat="1">
      <c r="A45" s="63">
        <v>15</v>
      </c>
      <c r="B45" s="176" t="s">
        <v>30</v>
      </c>
      <c r="C45" s="255">
        <f>Määräytymistekijät!C25</f>
        <v>178749</v>
      </c>
      <c r="D45" s="271">
        <f>Tarvekertoimet!J25</f>
        <v>0.94230511819320528</v>
      </c>
      <c r="E45" s="271">
        <f>Tarvekertoimet!K25</f>
        <v>0.9485351106893295</v>
      </c>
      <c r="F45" s="271">
        <f>Tarvekertoimet!L25</f>
        <v>0.83125724291852121</v>
      </c>
      <c r="G45" s="59">
        <f>Määräytymistekijät!F25</f>
        <v>19104</v>
      </c>
      <c r="H45" s="59">
        <f>Määräytymistekijät!D25</f>
        <v>88370</v>
      </c>
      <c r="I45" s="60">
        <f>Määräytymistekijät!I25</f>
        <v>0.7675776530072107</v>
      </c>
      <c r="J45" s="59">
        <f>Määräytymistekijät!J25</f>
        <v>5373</v>
      </c>
      <c r="K45" s="257">
        <f>'Hyte-kerroin'!G24</f>
        <v>1.0180538063659963</v>
      </c>
      <c r="L45" s="59">
        <f>Määräytymistekijät!E25</f>
        <v>0</v>
      </c>
      <c r="M45" s="123"/>
      <c r="N45" s="61"/>
    </row>
    <row r="46" spans="1:14" s="32" customFormat="1">
      <c r="A46" s="63">
        <v>16</v>
      </c>
      <c r="B46" s="176" t="s">
        <v>31</v>
      </c>
      <c r="C46" s="255">
        <f>Määräytymistekijät!C26</f>
        <v>67723</v>
      </c>
      <c r="D46" s="271">
        <f>Tarvekertoimet!J26</f>
        <v>1.0783437030918979</v>
      </c>
      <c r="E46" s="271">
        <f>Tarvekertoimet!K26</f>
        <v>1.1761627204575917</v>
      </c>
      <c r="F46" s="271">
        <f>Tarvekertoimet!L26</f>
        <v>1.1858677934586614</v>
      </c>
      <c r="G46" s="59">
        <f>Määräytymistekijät!F26</f>
        <v>3285</v>
      </c>
      <c r="H46" s="59">
        <f>Määräytymistekijät!D26</f>
        <v>5901</v>
      </c>
      <c r="I46" s="60">
        <f>Määräytymistekijät!I26</f>
        <v>1.37393542742797</v>
      </c>
      <c r="J46" s="59">
        <f>Määräytymistekijät!J26</f>
        <v>0</v>
      </c>
      <c r="K46" s="257">
        <f>'Hyte-kerroin'!G25</f>
        <v>0.73869079597608733</v>
      </c>
      <c r="L46" s="59">
        <f>Määräytymistekijät!E26</f>
        <v>0</v>
      </c>
      <c r="M46" s="123"/>
      <c r="N46" s="61"/>
    </row>
    <row r="47" spans="1:14" s="32" customFormat="1">
      <c r="A47" s="63">
        <v>17</v>
      </c>
      <c r="B47" s="176" t="s">
        <v>32</v>
      </c>
      <c r="C47" s="255">
        <f>Määräytymistekijät!C27</f>
        <v>418331</v>
      </c>
      <c r="D47" s="271">
        <f>Tarvekertoimet!J27</f>
        <v>0.97467509255244655</v>
      </c>
      <c r="E47" s="271">
        <f>Tarvekertoimet!K27</f>
        <v>0.97540584967290556</v>
      </c>
      <c r="F47" s="271">
        <f>Tarvekertoimet!L27</f>
        <v>1.2030093753387854</v>
      </c>
      <c r="G47" s="59">
        <f>Määräytymistekijät!F27</f>
        <v>19335</v>
      </c>
      <c r="H47" s="59">
        <f>Määräytymistekijät!D27</f>
        <v>0</v>
      </c>
      <c r="I47" s="60">
        <f>Määräytymistekijät!I27</f>
        <v>1.6317945150654358</v>
      </c>
      <c r="J47" s="59">
        <f>Määräytymistekijät!J27</f>
        <v>912</v>
      </c>
      <c r="K47" s="257">
        <f>'Hyte-kerroin'!G26</f>
        <v>0.91719818222854665</v>
      </c>
      <c r="L47" s="59">
        <f>Määräytymistekijät!E27</f>
        <v>0</v>
      </c>
      <c r="M47" s="123">
        <f>C47</f>
        <v>418331</v>
      </c>
      <c r="N47" s="61"/>
    </row>
    <row r="48" spans="1:14" s="32" customFormat="1">
      <c r="A48" s="63">
        <v>18</v>
      </c>
      <c r="B48" s="176" t="s">
        <v>33</v>
      </c>
      <c r="C48" s="255">
        <f>Määräytymistekijät!C28</f>
        <v>69639</v>
      </c>
      <c r="D48" s="271">
        <f>Tarvekertoimet!J28</f>
        <v>1.1377572090045243</v>
      </c>
      <c r="E48" s="271">
        <f>Tarvekertoimet!K28</f>
        <v>1.4173949549951554</v>
      </c>
      <c r="F48" s="271">
        <f>Tarvekertoimet!L28</f>
        <v>1.2547803710076584</v>
      </c>
      <c r="G48" s="59">
        <f>Määräytymistekijät!F28</f>
        <v>4082</v>
      </c>
      <c r="H48" s="59">
        <f>Määräytymistekijät!D28</f>
        <v>0</v>
      </c>
      <c r="I48" s="60">
        <f>Määräytymistekijät!I28</f>
        <v>5.3756175343415151</v>
      </c>
      <c r="J48" s="59">
        <f>Määräytymistekijät!J28</f>
        <v>0</v>
      </c>
      <c r="K48" s="257">
        <f>'Hyte-kerroin'!G27</f>
        <v>1.1895356067811493</v>
      </c>
      <c r="L48" s="59">
        <f>Määräytymistekijät!E28</f>
        <v>0</v>
      </c>
      <c r="M48" s="123"/>
      <c r="N48" s="61"/>
    </row>
    <row r="49" spans="1:35" s="32" customFormat="1">
      <c r="A49" s="63">
        <v>19</v>
      </c>
      <c r="B49" s="176" t="s">
        <v>34</v>
      </c>
      <c r="C49" s="255">
        <f>Määräytymistekijät!C29</f>
        <v>176151</v>
      </c>
      <c r="D49" s="271">
        <f>Tarvekertoimet!J29</f>
        <v>1.1178351427308728</v>
      </c>
      <c r="E49" s="271">
        <f>Tarvekertoimet!K29</f>
        <v>1.2432805066966928</v>
      </c>
      <c r="F49" s="271">
        <f>Tarvekertoimet!L29</f>
        <v>1.3388131523481976</v>
      </c>
      <c r="G49" s="59">
        <f>Määräytymistekijät!F29</f>
        <v>8341</v>
      </c>
      <c r="H49" s="59">
        <f>Määräytymistekijät!D29</f>
        <v>0</v>
      </c>
      <c r="I49" s="60">
        <f>Määräytymistekijät!I29</f>
        <v>9.7527856858756063</v>
      </c>
      <c r="J49" s="59">
        <f>Määräytymistekijät!J29</f>
        <v>0</v>
      </c>
      <c r="K49" s="257">
        <f>'Hyte-kerroin'!G28</f>
        <v>1.1744053921759396</v>
      </c>
      <c r="L49" s="59">
        <f>Määräytymistekijät!E29</f>
        <v>1587</v>
      </c>
      <c r="M49" s="123"/>
      <c r="N49" s="61"/>
    </row>
    <row r="50" spans="1:35" s="32" customFormat="1" ht="15.75">
      <c r="A50" s="64"/>
      <c r="B50" s="177" t="s">
        <v>35</v>
      </c>
      <c r="C50" s="49">
        <f>Määräytymistekijät!C30</f>
        <v>5605317</v>
      </c>
      <c r="D50" s="272">
        <v>0</v>
      </c>
      <c r="E50" s="272">
        <v>0</v>
      </c>
      <c r="F50" s="272">
        <v>0</v>
      </c>
      <c r="G50" s="49">
        <f>Määräytymistekijät!F30</f>
        <v>607004</v>
      </c>
      <c r="H50" s="49">
        <f>Määräytymistekijät!D30</f>
        <v>249081</v>
      </c>
      <c r="I50" s="65">
        <f>Määräytymistekijät!I30</f>
        <v>1</v>
      </c>
      <c r="J50" s="49">
        <f>Määräytymistekijät!J30</f>
        <v>33776</v>
      </c>
      <c r="K50" s="66"/>
      <c r="L50" s="49">
        <f>Määräytymistekijät!E30</f>
        <v>1587</v>
      </c>
      <c r="M50" s="124">
        <f>SUM(M28:M49)</f>
        <v>3489671</v>
      </c>
      <c r="N50" s="61"/>
    </row>
    <row r="51" spans="1:35" s="32" customFormat="1" ht="15.75">
      <c r="A51" s="27"/>
      <c r="B51" s="50"/>
      <c r="C51" s="67"/>
      <c r="D51" s="68"/>
      <c r="E51" s="50"/>
      <c r="F51" s="68"/>
      <c r="G51" s="67"/>
      <c r="H51" s="67"/>
      <c r="I51" s="69"/>
      <c r="J51" s="70"/>
      <c r="K51" s="69"/>
      <c r="L51" s="67"/>
      <c r="M51" s="67"/>
      <c r="N51" s="61"/>
    </row>
    <row r="52" spans="1:35" s="32" customFormat="1" ht="16.5">
      <c r="A52" s="482" t="s">
        <v>201</v>
      </c>
      <c r="B52" s="482"/>
      <c r="C52" s="482"/>
      <c r="D52" s="482"/>
      <c r="E52" s="482"/>
      <c r="F52" s="482"/>
      <c r="G52" s="482"/>
      <c r="H52" s="482"/>
      <c r="I52" s="482"/>
      <c r="J52" s="482"/>
      <c r="K52" s="482"/>
      <c r="L52" s="482"/>
      <c r="M52" s="482"/>
      <c r="N52" s="482"/>
    </row>
    <row r="53" spans="1:35" s="32" customFormat="1" ht="25.5" customHeight="1">
      <c r="A53" s="41" t="s">
        <v>6</v>
      </c>
      <c r="B53" s="36" t="s">
        <v>7</v>
      </c>
      <c r="C53" s="512" t="s">
        <v>158</v>
      </c>
      <c r="D53" s="54" t="s">
        <v>159</v>
      </c>
      <c r="E53" s="54" t="s">
        <v>160</v>
      </c>
      <c r="F53" s="54" t="s">
        <v>161</v>
      </c>
      <c r="G53" s="513" t="s">
        <v>162</v>
      </c>
      <c r="H53" s="514" t="s">
        <v>163</v>
      </c>
      <c r="I53" s="514" t="s">
        <v>12</v>
      </c>
      <c r="J53" s="514" t="s">
        <v>164</v>
      </c>
      <c r="K53" s="514" t="s">
        <v>165</v>
      </c>
      <c r="L53" s="515" t="s">
        <v>166</v>
      </c>
      <c r="M53" s="515" t="s">
        <v>180</v>
      </c>
      <c r="N53" s="517" t="s">
        <v>196</v>
      </c>
    </row>
    <row r="54" spans="1:35" s="32" customFormat="1" ht="15.75">
      <c r="A54" s="58">
        <v>31</v>
      </c>
      <c r="B54" s="175" t="s">
        <v>14</v>
      </c>
      <c r="C54" s="59">
        <f t="shared" ref="C54:C73" si="3">C28*$B$22</f>
        <v>424587174.63422328</v>
      </c>
      <c r="D54" s="59">
        <f t="shared" ref="D54:D73" si="4">D28*C28*$D$22</f>
        <v>1312012485.7808187</v>
      </c>
      <c r="E54" s="59">
        <f t="shared" ref="E54:E73" si="5">E28*C28*$E$22</f>
        <v>437467165.16808993</v>
      </c>
      <c r="F54" s="59">
        <f t="shared" ref="F54:F73" si="6">F28*C28*$F$22</f>
        <v>527456566.59475094</v>
      </c>
      <c r="G54" s="59">
        <f t="shared" ref="G54:G75" si="7">G28*$G$22</f>
        <v>121862259.55642436</v>
      </c>
      <c r="H54" s="59">
        <f t="shared" ref="H54:H75" si="8">H28*$H$22</f>
        <v>19595745.634822085</v>
      </c>
      <c r="I54" s="59">
        <f t="shared" ref="I54:I73" si="9">I28*C28*$I$22</f>
        <v>281584.19373087387</v>
      </c>
      <c r="J54" s="59">
        <f t="shared" ref="J54:J75" si="10">J28*$J$22</f>
        <v>0</v>
      </c>
      <c r="K54" s="59">
        <f t="shared" ref="K54:K73" si="11">C28*$K$22*K28</f>
        <v>42565259.727252357</v>
      </c>
      <c r="L54" s="59">
        <f t="shared" ref="L54:L75" si="12">L28*$L$22</f>
        <v>0</v>
      </c>
      <c r="M54" s="59">
        <f t="shared" ref="M54:M76" si="13">M28*$M$22</f>
        <v>28992646.486698296</v>
      </c>
      <c r="N54" s="73">
        <f t="shared" ref="N54:N77" si="14">SUM(C54:M54)</f>
        <v>2914820887.7768102</v>
      </c>
      <c r="P54" s="557"/>
      <c r="Q54" s="139"/>
      <c r="R54" s="452"/>
      <c r="S54" s="452"/>
      <c r="T54" s="452"/>
      <c r="U54" s="452"/>
      <c r="V54" s="452"/>
      <c r="W54" s="452"/>
      <c r="X54" s="452"/>
      <c r="Y54" s="452"/>
      <c r="Z54" s="139"/>
      <c r="AA54" s="139"/>
      <c r="AI54" s="491"/>
    </row>
    <row r="55" spans="1:35" s="32" customFormat="1" ht="15.75">
      <c r="A55" s="74">
        <v>32</v>
      </c>
      <c r="B55" s="176" t="s">
        <v>41</v>
      </c>
      <c r="C55" s="59">
        <f t="shared" si="3"/>
        <v>179842697.27810308</v>
      </c>
      <c r="D55" s="59">
        <f t="shared" si="4"/>
        <v>567835818.58887482</v>
      </c>
      <c r="E55" s="59">
        <f t="shared" si="5"/>
        <v>152191184.9188717</v>
      </c>
      <c r="F55" s="59">
        <f t="shared" si="6"/>
        <v>240196007.11709407</v>
      </c>
      <c r="G55" s="59">
        <f t="shared" si="7"/>
        <v>68681294.792195261</v>
      </c>
      <c r="H55" s="59">
        <f t="shared" si="8"/>
        <v>3071564.8388484153</v>
      </c>
      <c r="I55" s="59">
        <f t="shared" si="9"/>
        <v>353036.60937373934</v>
      </c>
      <c r="J55" s="59">
        <f t="shared" si="10"/>
        <v>0</v>
      </c>
      <c r="K55" s="59">
        <f t="shared" si="11"/>
        <v>11944849.835752789</v>
      </c>
      <c r="L55" s="59">
        <f t="shared" si="12"/>
        <v>0</v>
      </c>
      <c r="M55" s="59">
        <f t="shared" si="13"/>
        <v>12280436.284704639</v>
      </c>
      <c r="N55" s="73">
        <f t="shared" si="14"/>
        <v>1236396890.2638185</v>
      </c>
      <c r="P55" s="557"/>
      <c r="Q55" s="139"/>
      <c r="R55" s="452"/>
      <c r="S55" s="452"/>
      <c r="T55" s="452"/>
      <c r="U55" s="452"/>
      <c r="V55" s="452"/>
      <c r="W55" s="452"/>
      <c r="X55" s="452"/>
      <c r="Y55" s="452"/>
      <c r="Z55" s="139"/>
      <c r="AA55" s="139"/>
      <c r="AI55" s="491"/>
    </row>
    <row r="56" spans="1:35" s="32" customFormat="1" ht="15.75">
      <c r="A56" s="74">
        <v>33</v>
      </c>
      <c r="B56" s="176" t="s">
        <v>15</v>
      </c>
      <c r="C56" s="59">
        <f t="shared" si="3"/>
        <v>311645613.13749141</v>
      </c>
      <c r="D56" s="59">
        <f t="shared" si="4"/>
        <v>894731603.756639</v>
      </c>
      <c r="E56" s="59">
        <f t="shared" si="5"/>
        <v>258748519.66828901</v>
      </c>
      <c r="F56" s="59">
        <f t="shared" si="6"/>
        <v>344555221.57697046</v>
      </c>
      <c r="G56" s="59">
        <f t="shared" si="7"/>
        <v>83349351.392931715</v>
      </c>
      <c r="H56" s="59">
        <f t="shared" si="8"/>
        <v>29846317.569821998</v>
      </c>
      <c r="I56" s="59">
        <f t="shared" si="9"/>
        <v>5580715.797049637</v>
      </c>
      <c r="J56" s="59">
        <f t="shared" si="10"/>
        <v>0</v>
      </c>
      <c r="K56" s="59">
        <f t="shared" si="11"/>
        <v>39727146.161417916</v>
      </c>
      <c r="L56" s="59">
        <f t="shared" si="12"/>
        <v>0</v>
      </c>
      <c r="M56" s="59">
        <f t="shared" si="13"/>
        <v>21280508.763858777</v>
      </c>
      <c r="N56" s="73">
        <f t="shared" si="14"/>
        <v>1989464997.82447</v>
      </c>
      <c r="P56" s="557"/>
      <c r="Q56" s="139"/>
      <c r="R56" s="452"/>
      <c r="S56" s="452"/>
      <c r="T56" s="452"/>
      <c r="U56" s="452"/>
      <c r="V56" s="452"/>
      <c r="W56" s="452"/>
      <c r="X56" s="452"/>
      <c r="Y56" s="452"/>
      <c r="Z56" s="139"/>
      <c r="AA56" s="139"/>
      <c r="AI56" s="491"/>
    </row>
    <row r="57" spans="1:35" s="32" customFormat="1" ht="15.75">
      <c r="A57" s="74">
        <v>34</v>
      </c>
      <c r="B57" s="176" t="s">
        <v>16</v>
      </c>
      <c r="C57" s="59">
        <f t="shared" si="3"/>
        <v>61709390.639224857</v>
      </c>
      <c r="D57" s="59">
        <f t="shared" si="4"/>
        <v>201926010.33945695</v>
      </c>
      <c r="E57" s="59">
        <f t="shared" si="5"/>
        <v>73450889.104520813</v>
      </c>
      <c r="F57" s="59">
        <f t="shared" si="6"/>
        <v>74047415.997913033</v>
      </c>
      <c r="G57" s="59">
        <f t="shared" si="7"/>
        <v>6903947.7387578944</v>
      </c>
      <c r="H57" s="59">
        <f t="shared" si="8"/>
        <v>14362787.820959462</v>
      </c>
      <c r="I57" s="59">
        <f t="shared" si="9"/>
        <v>3546441.2469352838</v>
      </c>
      <c r="J57" s="59">
        <f t="shared" si="10"/>
        <v>0</v>
      </c>
      <c r="K57" s="59">
        <f t="shared" si="11"/>
        <v>7865505.2798021492</v>
      </c>
      <c r="L57" s="59">
        <f t="shared" si="12"/>
        <v>0</v>
      </c>
      <c r="M57" s="59">
        <f t="shared" si="13"/>
        <v>4213783.7753905756</v>
      </c>
      <c r="N57" s="73">
        <f t="shared" si="14"/>
        <v>448026171.94296098</v>
      </c>
      <c r="P57" s="557"/>
      <c r="Q57" s="139"/>
      <c r="R57" s="452"/>
      <c r="S57" s="452"/>
      <c r="T57" s="452"/>
      <c r="U57" s="452"/>
      <c r="V57" s="452"/>
      <c r="W57" s="452"/>
      <c r="X57" s="452"/>
      <c r="Y57" s="452"/>
      <c r="Z57" s="139"/>
      <c r="AA57" s="139"/>
      <c r="AI57" s="491"/>
    </row>
    <row r="58" spans="1:35" s="32" customFormat="1" ht="15.75">
      <c r="A58" s="74">
        <v>35</v>
      </c>
      <c r="B58" s="176" t="s">
        <v>17</v>
      </c>
      <c r="C58" s="59">
        <f t="shared" si="3"/>
        <v>128533556.50218067</v>
      </c>
      <c r="D58" s="59">
        <f t="shared" si="4"/>
        <v>398195030.10964733</v>
      </c>
      <c r="E58" s="59">
        <f t="shared" si="5"/>
        <v>122378082.8483589</v>
      </c>
      <c r="F58" s="59">
        <f t="shared" si="6"/>
        <v>156775897.77713463</v>
      </c>
      <c r="G58" s="59">
        <f t="shared" si="7"/>
        <v>15056741.363610217</v>
      </c>
      <c r="H58" s="59">
        <f t="shared" si="8"/>
        <v>0</v>
      </c>
      <c r="I58" s="59">
        <f t="shared" si="9"/>
        <v>2191102.432455563</v>
      </c>
      <c r="J58" s="59">
        <f t="shared" si="10"/>
        <v>0</v>
      </c>
      <c r="K58" s="59">
        <f t="shared" si="11"/>
        <v>9010443.6637166273</v>
      </c>
      <c r="L58" s="59">
        <f t="shared" si="12"/>
        <v>0</v>
      </c>
      <c r="M58" s="59">
        <f t="shared" si="13"/>
        <v>8776826.4987187702</v>
      </c>
      <c r="N58" s="73">
        <f t="shared" si="14"/>
        <v>840917681.19582272</v>
      </c>
      <c r="P58" s="557"/>
      <c r="Q58" s="139"/>
      <c r="R58" s="452"/>
      <c r="S58" s="452"/>
      <c r="T58" s="452"/>
      <c r="U58" s="452"/>
      <c r="V58" s="452"/>
      <c r="W58" s="452"/>
      <c r="X58" s="452"/>
      <c r="Y58" s="452"/>
      <c r="Z58" s="139"/>
      <c r="AA58" s="139"/>
      <c r="AI58" s="491"/>
    </row>
    <row r="59" spans="1:35" s="32" customFormat="1" ht="15.75">
      <c r="A59" s="45">
        <v>2</v>
      </c>
      <c r="B59" s="176" t="s">
        <v>18</v>
      </c>
      <c r="C59" s="59">
        <f t="shared" si="3"/>
        <v>307146597.26108336</v>
      </c>
      <c r="D59" s="59">
        <f t="shared" si="4"/>
        <v>1092599914.3800929</v>
      </c>
      <c r="E59" s="59">
        <f t="shared" si="5"/>
        <v>434100993.41177559</v>
      </c>
      <c r="F59" s="59">
        <f t="shared" si="6"/>
        <v>467683512.97019064</v>
      </c>
      <c r="G59" s="59">
        <f t="shared" si="7"/>
        <v>47587738.737045549</v>
      </c>
      <c r="H59" s="59">
        <f t="shared" si="8"/>
        <v>14618442.155672798</v>
      </c>
      <c r="I59" s="59">
        <f t="shared" si="9"/>
        <v>14010381.785708643</v>
      </c>
      <c r="J59" s="59">
        <f t="shared" si="10"/>
        <v>19402517.969458777</v>
      </c>
      <c r="K59" s="59">
        <f t="shared" si="11"/>
        <v>33387839.83485559</v>
      </c>
      <c r="L59" s="59">
        <f t="shared" si="12"/>
        <v>0</v>
      </c>
      <c r="M59" s="59">
        <f t="shared" si="13"/>
        <v>20973296.524216563</v>
      </c>
      <c r="N59" s="73">
        <f t="shared" si="14"/>
        <v>2451511235.0301003</v>
      </c>
      <c r="P59" s="557"/>
      <c r="Q59" s="139"/>
      <c r="R59" s="452"/>
      <c r="S59" s="452"/>
      <c r="T59" s="452"/>
      <c r="U59" s="452"/>
      <c r="V59" s="452"/>
      <c r="W59" s="452"/>
      <c r="X59" s="452"/>
      <c r="Y59" s="452"/>
      <c r="Z59" s="139"/>
      <c r="AA59" s="139"/>
      <c r="AI59" s="491"/>
    </row>
    <row r="60" spans="1:35" s="32" customFormat="1" ht="15.75">
      <c r="A60" s="45">
        <v>4</v>
      </c>
      <c r="B60" s="176" t="s">
        <v>19</v>
      </c>
      <c r="C60" s="59">
        <f t="shared" si="3"/>
        <v>131135015.59959042</v>
      </c>
      <c r="D60" s="59">
        <f t="shared" si="4"/>
        <v>463365823.54801023</v>
      </c>
      <c r="E60" s="59">
        <f t="shared" si="5"/>
        <v>198818304.30649936</v>
      </c>
      <c r="F60" s="59">
        <f t="shared" si="6"/>
        <v>213885578.77319556</v>
      </c>
      <c r="G60" s="59">
        <f t="shared" si="7"/>
        <v>10956378.562441839</v>
      </c>
      <c r="H60" s="59">
        <f t="shared" si="8"/>
        <v>0</v>
      </c>
      <c r="I60" s="59">
        <f t="shared" si="9"/>
        <v>10266143.980282104</v>
      </c>
      <c r="J60" s="59">
        <f t="shared" si="10"/>
        <v>0</v>
      </c>
      <c r="K60" s="59">
        <f t="shared" si="11"/>
        <v>13927895.76508715</v>
      </c>
      <c r="L60" s="59">
        <f t="shared" si="12"/>
        <v>0</v>
      </c>
      <c r="M60" s="59">
        <f t="shared" si="13"/>
        <v>0</v>
      </c>
      <c r="N60" s="73">
        <f t="shared" si="14"/>
        <v>1042355140.5351067</v>
      </c>
      <c r="P60" s="557"/>
      <c r="Q60" s="139"/>
      <c r="R60" s="452"/>
      <c r="S60" s="452"/>
      <c r="T60" s="452"/>
      <c r="U60" s="452"/>
      <c r="V60" s="452"/>
      <c r="W60" s="452"/>
      <c r="X60" s="452"/>
      <c r="Y60" s="452"/>
      <c r="Z60" s="139"/>
      <c r="AA60" s="139"/>
      <c r="AI60" s="491"/>
    </row>
    <row r="61" spans="1:35" s="32" customFormat="1" ht="15.75">
      <c r="A61" s="45">
        <v>5</v>
      </c>
      <c r="B61" s="176" t="s">
        <v>20</v>
      </c>
      <c r="C61" s="59">
        <f t="shared" si="3"/>
        <v>105184980.04093796</v>
      </c>
      <c r="D61" s="59">
        <f t="shared" si="4"/>
        <v>373519405.46060055</v>
      </c>
      <c r="E61" s="59">
        <f t="shared" si="5"/>
        <v>151892656.90117937</v>
      </c>
      <c r="F61" s="59">
        <f t="shared" si="6"/>
        <v>157457847.12067887</v>
      </c>
      <c r="G61" s="59">
        <f t="shared" si="7"/>
        <v>9688359.885353636</v>
      </c>
      <c r="H61" s="59">
        <f t="shared" si="8"/>
        <v>0</v>
      </c>
      <c r="I61" s="59">
        <f t="shared" si="9"/>
        <v>6823292.3328114245</v>
      </c>
      <c r="J61" s="59">
        <f t="shared" si="10"/>
        <v>0</v>
      </c>
      <c r="K61" s="59">
        <f t="shared" si="11"/>
        <v>13545184.382418452</v>
      </c>
      <c r="L61" s="59">
        <f t="shared" si="12"/>
        <v>0</v>
      </c>
      <c r="M61" s="59">
        <f t="shared" si="13"/>
        <v>0</v>
      </c>
      <c r="N61" s="73">
        <f t="shared" si="14"/>
        <v>818111726.12398028</v>
      </c>
      <c r="P61" s="557"/>
      <c r="Q61" s="139"/>
      <c r="R61" s="452"/>
      <c r="S61" s="452"/>
      <c r="T61" s="452"/>
      <c r="U61" s="452"/>
      <c r="V61" s="452"/>
      <c r="W61" s="452"/>
      <c r="X61" s="452"/>
      <c r="Y61" s="452"/>
      <c r="Z61" s="139"/>
      <c r="AA61" s="139"/>
      <c r="AI61" s="491"/>
    </row>
    <row r="62" spans="1:35" s="32" customFormat="1" ht="15.75">
      <c r="A62" s="45">
        <v>6</v>
      </c>
      <c r="B62" s="176" t="s">
        <v>21</v>
      </c>
      <c r="C62" s="59">
        <f t="shared" si="3"/>
        <v>338547220.34881127</v>
      </c>
      <c r="D62" s="59">
        <f t="shared" si="4"/>
        <v>1165053083.5128908</v>
      </c>
      <c r="E62" s="59">
        <f t="shared" si="5"/>
        <v>432345244.11724389</v>
      </c>
      <c r="F62" s="59">
        <f t="shared" si="6"/>
        <v>480052597.5709222</v>
      </c>
      <c r="G62" s="59">
        <f t="shared" si="7"/>
        <v>35174228.05907692</v>
      </c>
      <c r="H62" s="59">
        <f t="shared" si="8"/>
        <v>0</v>
      </c>
      <c r="I62" s="59">
        <f t="shared" si="9"/>
        <v>17386163.957265515</v>
      </c>
      <c r="J62" s="59">
        <f t="shared" si="10"/>
        <v>0</v>
      </c>
      <c r="K62" s="59">
        <f t="shared" si="11"/>
        <v>36879497.016781747</v>
      </c>
      <c r="L62" s="59">
        <f t="shared" si="12"/>
        <v>0</v>
      </c>
      <c r="M62" s="59">
        <f t="shared" si="13"/>
        <v>23117466.718308832</v>
      </c>
      <c r="N62" s="73">
        <f t="shared" si="14"/>
        <v>2528555501.301301</v>
      </c>
      <c r="P62" s="557"/>
      <c r="Q62" s="139"/>
      <c r="R62" s="452"/>
      <c r="S62" s="452"/>
      <c r="T62" s="452"/>
      <c r="U62" s="452"/>
      <c r="V62" s="452"/>
      <c r="W62" s="452"/>
      <c r="X62" s="452"/>
      <c r="Y62" s="452"/>
      <c r="Z62" s="139"/>
      <c r="AA62" s="139"/>
      <c r="AI62" s="491"/>
    </row>
    <row r="63" spans="1:35" s="32" customFormat="1" ht="15.75">
      <c r="A63" s="45">
        <v>7</v>
      </c>
      <c r="B63" s="176" t="s">
        <v>22</v>
      </c>
      <c r="C63" s="59">
        <f t="shared" si="3"/>
        <v>127022090.76555629</v>
      </c>
      <c r="D63" s="59">
        <f t="shared" si="4"/>
        <v>459749344.23419923</v>
      </c>
      <c r="E63" s="59">
        <f t="shared" si="5"/>
        <v>188888826.31083605</v>
      </c>
      <c r="F63" s="59">
        <f t="shared" si="6"/>
        <v>200347440.29419652</v>
      </c>
      <c r="G63" s="59">
        <f t="shared" si="7"/>
        <v>13940362.033472769</v>
      </c>
      <c r="H63" s="59">
        <f t="shared" si="8"/>
        <v>0</v>
      </c>
      <c r="I63" s="59">
        <f t="shared" si="9"/>
        <v>7500417.153228662</v>
      </c>
      <c r="J63" s="59">
        <f t="shared" si="10"/>
        <v>0</v>
      </c>
      <c r="K63" s="59">
        <f t="shared" si="11"/>
        <v>18483222.596207224</v>
      </c>
      <c r="L63" s="59">
        <f t="shared" si="12"/>
        <v>0</v>
      </c>
      <c r="M63" s="59">
        <f t="shared" si="13"/>
        <v>0</v>
      </c>
      <c r="N63" s="73">
        <f t="shared" si="14"/>
        <v>1015931703.3876967</v>
      </c>
      <c r="P63" s="557"/>
      <c r="Q63" s="139"/>
      <c r="R63" s="452"/>
      <c r="S63" s="452"/>
      <c r="T63" s="452"/>
      <c r="U63" s="452"/>
      <c r="V63" s="452"/>
      <c r="W63" s="452"/>
      <c r="X63" s="452"/>
      <c r="Y63" s="452"/>
      <c r="Z63" s="139"/>
      <c r="AA63" s="139"/>
      <c r="AI63" s="491"/>
    </row>
    <row r="64" spans="1:35" s="32" customFormat="1" ht="15.75">
      <c r="A64" s="45">
        <v>8</v>
      </c>
      <c r="B64" s="176" t="s">
        <v>23</v>
      </c>
      <c r="C64" s="59">
        <f t="shared" si="3"/>
        <v>97728208.831874862</v>
      </c>
      <c r="D64" s="59">
        <f t="shared" si="4"/>
        <v>373506170.1058526</v>
      </c>
      <c r="E64" s="59">
        <f t="shared" si="5"/>
        <v>178476498.41544792</v>
      </c>
      <c r="F64" s="59">
        <f t="shared" si="6"/>
        <v>167154314.06060955</v>
      </c>
      <c r="G64" s="59">
        <f t="shared" si="7"/>
        <v>10797767.291493349</v>
      </c>
      <c r="H64" s="59">
        <f t="shared" si="8"/>
        <v>616858.90305313538</v>
      </c>
      <c r="I64" s="59">
        <f t="shared" si="9"/>
        <v>5983172.0202546027</v>
      </c>
      <c r="J64" s="59">
        <f t="shared" si="10"/>
        <v>0</v>
      </c>
      <c r="K64" s="59">
        <f t="shared" si="11"/>
        <v>9304373.4743140936</v>
      </c>
      <c r="L64" s="59">
        <f t="shared" si="12"/>
        <v>0</v>
      </c>
      <c r="M64" s="59">
        <f t="shared" si="13"/>
        <v>0</v>
      </c>
      <c r="N64" s="73">
        <f t="shared" si="14"/>
        <v>843567363.10290015</v>
      </c>
      <c r="P64" s="557"/>
      <c r="Q64" s="139"/>
      <c r="R64" s="452"/>
      <c r="S64" s="452"/>
      <c r="T64" s="452"/>
      <c r="U64" s="452"/>
      <c r="V64" s="452"/>
      <c r="W64" s="452"/>
      <c r="X64" s="452"/>
      <c r="Y64" s="452"/>
      <c r="Z64" s="139"/>
      <c r="AA64" s="139"/>
      <c r="AI64" s="491"/>
    </row>
    <row r="65" spans="1:35" s="32" customFormat="1" ht="15.75">
      <c r="A65" s="45">
        <v>9</v>
      </c>
      <c r="B65" s="176" t="s">
        <v>24</v>
      </c>
      <c r="C65" s="59">
        <f t="shared" si="3"/>
        <v>77642163.751206189</v>
      </c>
      <c r="D65" s="59">
        <f t="shared" si="4"/>
        <v>264409842.15572673</v>
      </c>
      <c r="E65" s="59">
        <f t="shared" si="5"/>
        <v>117631903.13150577</v>
      </c>
      <c r="F65" s="59">
        <f t="shared" si="6"/>
        <v>110832638.88104215</v>
      </c>
      <c r="G65" s="59">
        <f t="shared" si="7"/>
        <v>10282716.406160615</v>
      </c>
      <c r="H65" s="59">
        <f t="shared" si="8"/>
        <v>0</v>
      </c>
      <c r="I65" s="59">
        <f t="shared" si="9"/>
        <v>6990841.3581425743</v>
      </c>
      <c r="J65" s="59">
        <f t="shared" si="10"/>
        <v>0</v>
      </c>
      <c r="K65" s="59">
        <f t="shared" si="11"/>
        <v>8987539.3347926065</v>
      </c>
      <c r="L65" s="59">
        <f t="shared" si="12"/>
        <v>0</v>
      </c>
      <c r="M65" s="59">
        <f t="shared" si="13"/>
        <v>0</v>
      </c>
      <c r="N65" s="73">
        <f t="shared" si="14"/>
        <v>596777645.01857674</v>
      </c>
      <c r="P65" s="557"/>
      <c r="Q65" s="139"/>
      <c r="R65" s="452"/>
      <c r="S65" s="452"/>
      <c r="T65" s="452"/>
      <c r="U65" s="452"/>
      <c r="V65" s="452"/>
      <c r="W65" s="452"/>
      <c r="X65" s="452"/>
      <c r="Y65" s="452"/>
      <c r="Z65" s="139"/>
      <c r="AA65" s="139"/>
      <c r="AI65" s="491"/>
    </row>
    <row r="66" spans="1:35" s="32" customFormat="1" ht="15.75">
      <c r="A66" s="45">
        <v>10</v>
      </c>
      <c r="B66" s="176" t="s">
        <v>25</v>
      </c>
      <c r="C66" s="59">
        <f t="shared" si="3"/>
        <v>80306936.813764066</v>
      </c>
      <c r="D66" s="59">
        <f t="shared" si="4"/>
        <v>315099668.42660588</v>
      </c>
      <c r="E66" s="59">
        <f t="shared" si="5"/>
        <v>154666967.84434104</v>
      </c>
      <c r="F66" s="59">
        <f t="shared" si="6"/>
        <v>143349319.74278271</v>
      </c>
      <c r="G66" s="59">
        <f t="shared" si="7"/>
        <v>6575395.8203645935</v>
      </c>
      <c r="H66" s="59">
        <f t="shared" si="8"/>
        <v>0</v>
      </c>
      <c r="I66" s="59">
        <f t="shared" si="9"/>
        <v>16603809.215628784</v>
      </c>
      <c r="J66" s="59">
        <f t="shared" si="10"/>
        <v>4985695.715255742</v>
      </c>
      <c r="K66" s="59">
        <f t="shared" si="11"/>
        <v>12266029.103378762</v>
      </c>
      <c r="L66" s="59">
        <f t="shared" si="12"/>
        <v>0</v>
      </c>
      <c r="M66" s="59">
        <f t="shared" si="13"/>
        <v>0</v>
      </c>
      <c r="N66" s="73">
        <f t="shared" si="14"/>
        <v>733853822.68212152</v>
      </c>
      <c r="P66" s="557"/>
      <c r="Q66" s="139"/>
      <c r="R66" s="452"/>
      <c r="S66" s="452"/>
      <c r="T66" s="452"/>
      <c r="U66" s="452"/>
      <c r="V66" s="452"/>
      <c r="W66" s="452"/>
      <c r="X66" s="452"/>
      <c r="Y66" s="452"/>
      <c r="Z66" s="139"/>
      <c r="AA66" s="139"/>
      <c r="AI66" s="491"/>
    </row>
    <row r="67" spans="1:35" s="32" customFormat="1" ht="15.75">
      <c r="A67" s="45">
        <v>11</v>
      </c>
      <c r="B67" s="176" t="s">
        <v>26</v>
      </c>
      <c r="C67" s="59">
        <f t="shared" si="3"/>
        <v>154445727.82677394</v>
      </c>
      <c r="D67" s="59">
        <f t="shared" si="4"/>
        <v>571988095.97899342</v>
      </c>
      <c r="E67" s="59">
        <f t="shared" si="5"/>
        <v>240968464.14644894</v>
      </c>
      <c r="F67" s="59">
        <f t="shared" si="6"/>
        <v>271433719.30930775</v>
      </c>
      <c r="G67" s="59">
        <f t="shared" si="7"/>
        <v>11398224.245798346</v>
      </c>
      <c r="H67" s="59">
        <f t="shared" si="8"/>
        <v>0</v>
      </c>
      <c r="I67" s="59">
        <f t="shared" si="9"/>
        <v>22762626.889396656</v>
      </c>
      <c r="J67" s="59">
        <f t="shared" si="10"/>
        <v>0</v>
      </c>
      <c r="K67" s="59">
        <f t="shared" si="11"/>
        <v>23449044.02322479</v>
      </c>
      <c r="L67" s="59">
        <f t="shared" si="12"/>
        <v>0</v>
      </c>
      <c r="M67" s="59">
        <f t="shared" si="13"/>
        <v>10546221.496492544</v>
      </c>
      <c r="N67" s="73">
        <f t="shared" si="14"/>
        <v>1306992123.9164364</v>
      </c>
      <c r="P67" s="557"/>
      <c r="Q67" s="139"/>
      <c r="R67" s="452"/>
      <c r="S67" s="452"/>
      <c r="T67" s="452"/>
      <c r="U67" s="452"/>
      <c r="V67" s="452"/>
      <c r="W67" s="452"/>
      <c r="X67" s="452"/>
      <c r="Y67" s="452"/>
      <c r="Z67" s="139"/>
      <c r="AA67" s="139"/>
      <c r="AI67" s="491"/>
    </row>
    <row r="68" spans="1:35" s="32" customFormat="1" ht="15.75">
      <c r="A68" s="45">
        <v>12</v>
      </c>
      <c r="B68" s="176" t="s">
        <v>27</v>
      </c>
      <c r="C68" s="59">
        <f t="shared" si="3"/>
        <v>100613960.04730268</v>
      </c>
      <c r="D68" s="59">
        <f t="shared" si="4"/>
        <v>407373614.33708626</v>
      </c>
      <c r="E68" s="59">
        <f t="shared" si="5"/>
        <v>173697294.09527862</v>
      </c>
      <c r="F68" s="59">
        <f t="shared" si="6"/>
        <v>190241375.21288684</v>
      </c>
      <c r="G68" s="59">
        <f t="shared" si="7"/>
        <v>9297060.6509807147</v>
      </c>
      <c r="H68" s="59">
        <f t="shared" si="8"/>
        <v>0</v>
      </c>
      <c r="I68" s="59">
        <f t="shared" si="9"/>
        <v>24662591.894220889</v>
      </c>
      <c r="J68" s="59">
        <f t="shared" si="10"/>
        <v>0</v>
      </c>
      <c r="K68" s="59">
        <f t="shared" si="11"/>
        <v>10219803.968362585</v>
      </c>
      <c r="L68" s="59">
        <f t="shared" si="12"/>
        <v>0</v>
      </c>
      <c r="M68" s="59">
        <f t="shared" si="13"/>
        <v>0</v>
      </c>
      <c r="N68" s="73">
        <f t="shared" si="14"/>
        <v>916105700.20611858</v>
      </c>
      <c r="P68" s="557"/>
      <c r="Q68" s="139"/>
      <c r="R68" s="452"/>
      <c r="S68" s="452"/>
      <c r="T68" s="452"/>
      <c r="U68" s="452"/>
      <c r="V68" s="452"/>
      <c r="W68" s="452"/>
      <c r="X68" s="452"/>
      <c r="Y68" s="452"/>
      <c r="Z68" s="139"/>
      <c r="AA68" s="139"/>
      <c r="AI68" s="491"/>
    </row>
    <row r="69" spans="1:35" s="32" customFormat="1" ht="15.75">
      <c r="A69" s="45">
        <v>13</v>
      </c>
      <c r="B69" s="176" t="s">
        <v>28</v>
      </c>
      <c r="C69" s="59">
        <f t="shared" si="3"/>
        <v>170148211.90865767</v>
      </c>
      <c r="D69" s="59">
        <f t="shared" si="4"/>
        <v>560548112.94939816</v>
      </c>
      <c r="E69" s="59">
        <f t="shared" si="5"/>
        <v>224552066.61602426</v>
      </c>
      <c r="F69" s="59">
        <f t="shared" si="6"/>
        <v>258019218.57637492</v>
      </c>
      <c r="G69" s="59">
        <f t="shared" si="7"/>
        <v>13086301.34375013</v>
      </c>
      <c r="H69" s="59">
        <f t="shared" si="8"/>
        <v>0</v>
      </c>
      <c r="I69" s="59">
        <f t="shared" si="9"/>
        <v>21052059.995678671</v>
      </c>
      <c r="J69" s="59">
        <f t="shared" si="10"/>
        <v>0</v>
      </c>
      <c r="K69" s="59">
        <f t="shared" si="11"/>
        <v>18565728.14771273</v>
      </c>
      <c r="L69" s="59">
        <f t="shared" si="12"/>
        <v>0</v>
      </c>
      <c r="M69" s="59">
        <f t="shared" si="13"/>
        <v>0</v>
      </c>
      <c r="N69" s="73">
        <f t="shared" si="14"/>
        <v>1265971699.5375967</v>
      </c>
      <c r="P69" s="557"/>
      <c r="Q69" s="139"/>
      <c r="R69" s="452"/>
      <c r="S69" s="452"/>
      <c r="T69" s="452"/>
      <c r="U69" s="452"/>
      <c r="V69" s="452"/>
      <c r="W69" s="452"/>
      <c r="X69" s="452"/>
      <c r="Y69" s="452"/>
      <c r="Z69" s="139"/>
      <c r="AA69" s="139"/>
      <c r="AI69" s="491"/>
    </row>
    <row r="70" spans="1:35" s="32" customFormat="1" ht="15.75">
      <c r="A70" s="45">
        <v>14</v>
      </c>
      <c r="B70" s="176" t="s">
        <v>29</v>
      </c>
      <c r="C70" s="59">
        <f t="shared" si="3"/>
        <v>117893706.73155296</v>
      </c>
      <c r="D70" s="59">
        <f t="shared" si="4"/>
        <v>437743890.62422341</v>
      </c>
      <c r="E70" s="59">
        <f t="shared" si="5"/>
        <v>195932968.37499252</v>
      </c>
      <c r="F70" s="59">
        <f t="shared" si="6"/>
        <v>191783251.47334692</v>
      </c>
      <c r="G70" s="59">
        <f t="shared" si="7"/>
        <v>7171495.3221710064</v>
      </c>
      <c r="H70" s="59">
        <f t="shared" si="8"/>
        <v>0</v>
      </c>
      <c r="I70" s="59">
        <f t="shared" si="9"/>
        <v>18107328.136157952</v>
      </c>
      <c r="J70" s="59">
        <f t="shared" si="10"/>
        <v>0</v>
      </c>
      <c r="K70" s="59">
        <f t="shared" si="11"/>
        <v>23333388.737293135</v>
      </c>
      <c r="L70" s="59">
        <f t="shared" si="12"/>
        <v>0</v>
      </c>
      <c r="M70" s="59">
        <f t="shared" si="13"/>
        <v>0</v>
      </c>
      <c r="N70" s="73">
        <f t="shared" si="14"/>
        <v>991966029.39973783</v>
      </c>
      <c r="P70" s="557"/>
      <c r="Q70" s="139"/>
      <c r="R70" s="452"/>
      <c r="S70" s="452"/>
      <c r="T70" s="452"/>
      <c r="U70" s="452"/>
      <c r="V70" s="452"/>
      <c r="W70" s="452"/>
      <c r="X70" s="452"/>
      <c r="Y70" s="452"/>
      <c r="Z70" s="139"/>
      <c r="AA70" s="139"/>
      <c r="AI70" s="491"/>
    </row>
    <row r="71" spans="1:35" s="32" customFormat="1" ht="15.75">
      <c r="A71" s="45">
        <v>15</v>
      </c>
      <c r="B71" s="176" t="s">
        <v>30</v>
      </c>
      <c r="C71" s="59">
        <f t="shared" si="3"/>
        <v>110953999.57119955</v>
      </c>
      <c r="D71" s="59">
        <f t="shared" si="4"/>
        <v>354857060.14514953</v>
      </c>
      <c r="E71" s="59">
        <f t="shared" si="5"/>
        <v>136808563.01661855</v>
      </c>
      <c r="F71" s="59">
        <f t="shared" si="6"/>
        <v>137003810.65633738</v>
      </c>
      <c r="G71" s="59">
        <f t="shared" si="7"/>
        <v>16648954.506593134</v>
      </c>
      <c r="H71" s="59">
        <f t="shared" si="8"/>
        <v>46871729.374725342</v>
      </c>
      <c r="I71" s="59">
        <f t="shared" si="9"/>
        <v>9714720.2965853438</v>
      </c>
      <c r="J71" s="59">
        <f t="shared" si="10"/>
        <v>4766573.5014357837</v>
      </c>
      <c r="K71" s="59">
        <f t="shared" si="11"/>
        <v>12911360.720795261</v>
      </c>
      <c r="L71" s="59">
        <f t="shared" si="12"/>
        <v>0</v>
      </c>
      <c r="M71" s="59">
        <f t="shared" si="13"/>
        <v>0</v>
      </c>
      <c r="N71" s="73">
        <f t="shared" si="14"/>
        <v>830536771.7894398</v>
      </c>
      <c r="P71" s="557"/>
      <c r="Q71" s="139"/>
      <c r="R71" s="452"/>
      <c r="S71" s="452"/>
      <c r="T71" s="452"/>
      <c r="U71" s="452"/>
      <c r="V71" s="452"/>
      <c r="W71" s="452"/>
      <c r="X71" s="452"/>
      <c r="Y71" s="452"/>
      <c r="Z71" s="139"/>
      <c r="AA71" s="139"/>
      <c r="AI71" s="491"/>
    </row>
    <row r="72" spans="1:35" s="32" customFormat="1" ht="15.75">
      <c r="A72" s="45">
        <v>16</v>
      </c>
      <c r="B72" s="176" t="s">
        <v>31</v>
      </c>
      <c r="C72" s="59">
        <f t="shared" si="3"/>
        <v>42037369.232613035</v>
      </c>
      <c r="D72" s="59">
        <f t="shared" si="4"/>
        <v>153855021.16583955</v>
      </c>
      <c r="E72" s="59">
        <f t="shared" si="5"/>
        <v>64271708.901044279</v>
      </c>
      <c r="F72" s="59">
        <f t="shared" si="6"/>
        <v>74050167.680633783</v>
      </c>
      <c r="G72" s="59">
        <f t="shared" si="7"/>
        <v>2862846.2915702704</v>
      </c>
      <c r="H72" s="59">
        <f t="shared" si="8"/>
        <v>3129909.1890941979</v>
      </c>
      <c r="I72" s="59">
        <f t="shared" si="9"/>
        <v>6588201.4189010598</v>
      </c>
      <c r="J72" s="59">
        <f t="shared" si="10"/>
        <v>0</v>
      </c>
      <c r="K72" s="59">
        <f t="shared" si="11"/>
        <v>3549413.0189046259</v>
      </c>
      <c r="L72" s="59">
        <f t="shared" si="12"/>
        <v>0</v>
      </c>
      <c r="M72" s="59">
        <f t="shared" si="13"/>
        <v>0</v>
      </c>
      <c r="N72" s="73">
        <f t="shared" si="14"/>
        <v>350344636.89860082</v>
      </c>
      <c r="P72" s="557"/>
      <c r="Q72" s="139"/>
      <c r="R72" s="452"/>
      <c r="S72" s="452"/>
      <c r="T72" s="452"/>
      <c r="U72" s="452"/>
      <c r="V72" s="452"/>
      <c r="W72" s="452"/>
      <c r="X72" s="452"/>
      <c r="Y72" s="452"/>
      <c r="Z72" s="139"/>
      <c r="AA72" s="139"/>
      <c r="AI72" s="491"/>
    </row>
    <row r="73" spans="1:35" s="32" customFormat="1" ht="15.75">
      <c r="A73" s="45">
        <v>17</v>
      </c>
      <c r="B73" s="176" t="s">
        <v>32</v>
      </c>
      <c r="C73" s="59">
        <f t="shared" si="3"/>
        <v>259668572.10177109</v>
      </c>
      <c r="D73" s="59">
        <f t="shared" si="4"/>
        <v>859009953.48662174</v>
      </c>
      <c r="E73" s="59">
        <f t="shared" si="5"/>
        <v>329246869.01223606</v>
      </c>
      <c r="F73" s="59">
        <f t="shared" si="6"/>
        <v>464026351.44315207</v>
      </c>
      <c r="G73" s="59">
        <f t="shared" si="7"/>
        <v>16850268.812027756</v>
      </c>
      <c r="H73" s="59">
        <f t="shared" si="8"/>
        <v>0</v>
      </c>
      <c r="I73" s="59">
        <f t="shared" si="9"/>
        <v>48333681.461769968</v>
      </c>
      <c r="J73" s="59">
        <f t="shared" si="10"/>
        <v>809066.6356429247</v>
      </c>
      <c r="K73" s="59">
        <f t="shared" si="11"/>
        <v>27223307.950038191</v>
      </c>
      <c r="L73" s="59">
        <f t="shared" si="12"/>
        <v>0</v>
      </c>
      <c r="M73" s="59">
        <f t="shared" si="13"/>
        <v>17731291.862826686</v>
      </c>
      <c r="N73" s="73">
        <f t="shared" si="14"/>
        <v>2022899362.7660863</v>
      </c>
      <c r="P73" s="557"/>
      <c r="Q73" s="139"/>
      <c r="R73" s="452"/>
      <c r="S73" s="452"/>
      <c r="T73" s="452"/>
      <c r="U73" s="452"/>
      <c r="V73" s="452"/>
      <c r="W73" s="452"/>
      <c r="X73" s="452"/>
      <c r="Y73" s="452"/>
      <c r="Z73" s="139"/>
      <c r="AA73" s="139"/>
      <c r="AI73" s="491"/>
    </row>
    <row r="74" spans="1:35" s="32" customFormat="1" ht="15.75">
      <c r="A74" s="45">
        <v>18</v>
      </c>
      <c r="B74" s="176" t="s">
        <v>33</v>
      </c>
      <c r="C74" s="59">
        <f t="shared" ref="C74:C75" si="15">C48*$B$22</f>
        <v>43226678.617160186</v>
      </c>
      <c r="D74" s="59">
        <f t="shared" ref="D74:D75" si="16">D48*C48*$D$22</f>
        <v>166924622.00302961</v>
      </c>
      <c r="E74" s="59">
        <f t="shared" ref="E74:E75" si="17">E48*C48*$E$22</f>
        <v>79645209.306397408</v>
      </c>
      <c r="F74" s="59">
        <f t="shared" ref="F74:F75" si="18">F48*C48*$F$22</f>
        <v>80570085.774452493</v>
      </c>
      <c r="G74" s="59">
        <f t="shared" si="7"/>
        <v>3557424.2198447012</v>
      </c>
      <c r="H74" s="59">
        <f t="shared" si="8"/>
        <v>0</v>
      </c>
      <c r="I74" s="59">
        <f t="shared" ref="I74:I75" si="19">I48*C48*$I$22</f>
        <v>26506064.217806816</v>
      </c>
      <c r="J74" s="59">
        <f t="shared" si="10"/>
        <v>0</v>
      </c>
      <c r="K74" s="59">
        <f t="shared" ref="K74:K75" si="20">C48*$K$22*K48</f>
        <v>5877432.2876300374</v>
      </c>
      <c r="L74" s="59">
        <f t="shared" si="12"/>
        <v>0</v>
      </c>
      <c r="M74" s="59">
        <f t="shared" si="13"/>
        <v>0</v>
      </c>
      <c r="N74" s="73">
        <f t="shared" si="14"/>
        <v>406307516.42632127</v>
      </c>
      <c r="P74" s="557"/>
      <c r="Q74" s="139"/>
      <c r="R74" s="452"/>
      <c r="S74" s="452"/>
      <c r="T74" s="452"/>
      <c r="U74" s="452"/>
      <c r="V74" s="452"/>
      <c r="W74" s="452"/>
      <c r="X74" s="452"/>
      <c r="Y74" s="452"/>
      <c r="Z74" s="139"/>
      <c r="AA74" s="139"/>
      <c r="AI74" s="491"/>
    </row>
    <row r="75" spans="1:35" s="32" customFormat="1" ht="15.75">
      <c r="A75" s="45">
        <v>19</v>
      </c>
      <c r="B75" s="176" t="s">
        <v>34</v>
      </c>
      <c r="C75" s="59">
        <f t="shared" si="15"/>
        <v>109341355.63536787</v>
      </c>
      <c r="D75" s="59">
        <f t="shared" si="16"/>
        <v>414840502.17666739</v>
      </c>
      <c r="E75" s="59">
        <f t="shared" si="17"/>
        <v>176713808.41643226</v>
      </c>
      <c r="F75" s="59">
        <f t="shared" si="18"/>
        <v>217449626.86910349</v>
      </c>
      <c r="G75" s="59">
        <f t="shared" si="7"/>
        <v>7269102.2581393076</v>
      </c>
      <c r="H75" s="59">
        <f t="shared" si="8"/>
        <v>0</v>
      </c>
      <c r="I75" s="59">
        <f t="shared" si="19"/>
        <v>121640487.40982196</v>
      </c>
      <c r="J75" s="59">
        <f t="shared" si="10"/>
        <v>0</v>
      </c>
      <c r="K75" s="59">
        <f t="shared" si="20"/>
        <v>14677794.786789456</v>
      </c>
      <c r="L75" s="59">
        <f t="shared" si="12"/>
        <v>3541182.7243937454</v>
      </c>
      <c r="M75" s="59">
        <f t="shared" si="13"/>
        <v>0</v>
      </c>
      <c r="N75" s="73">
        <f t="shared" si="14"/>
        <v>1065473860.2767153</v>
      </c>
      <c r="P75" s="557"/>
      <c r="Q75" s="139"/>
      <c r="R75" s="452"/>
      <c r="S75" s="452"/>
      <c r="T75" s="452"/>
      <c r="U75" s="452"/>
      <c r="V75" s="452"/>
      <c r="W75" s="452"/>
      <c r="X75" s="452"/>
      <c r="Y75" s="452"/>
      <c r="Z75" s="139"/>
      <c r="AA75" s="139"/>
      <c r="AI75" s="491"/>
    </row>
    <row r="76" spans="1:35" s="32" customFormat="1" ht="15.75">
      <c r="A76" s="48"/>
      <c r="B76" s="175" t="s">
        <v>35</v>
      </c>
      <c r="C76" s="49">
        <f t="shared" ref="C76:L76" si="21">SUM(C54:C75)</f>
        <v>3479361227.2764468</v>
      </c>
      <c r="D76" s="49">
        <f t="shared" si="21"/>
        <v>11809145073.266426</v>
      </c>
      <c r="E76" s="49">
        <f t="shared" si="21"/>
        <v>4522894188.0324326</v>
      </c>
      <c r="F76" s="49">
        <f t="shared" si="21"/>
        <v>5168371965.4730759</v>
      </c>
      <c r="G76" s="49">
        <f t="shared" si="21"/>
        <v>528998219.29020399</v>
      </c>
      <c r="H76" s="49">
        <f t="shared" si="21"/>
        <v>132113355.48699744</v>
      </c>
      <c r="I76" s="49">
        <f t="shared" si="21"/>
        <v>396884863.80320668</v>
      </c>
      <c r="J76" s="49">
        <f t="shared" si="21"/>
        <v>29963853.821793225</v>
      </c>
      <c r="K76" s="49">
        <f t="shared" si="21"/>
        <v>397702059.81652826</v>
      </c>
      <c r="L76" s="49">
        <f t="shared" si="21"/>
        <v>3541182.7243937454</v>
      </c>
      <c r="M76" s="49">
        <f t="shared" si="13"/>
        <v>147912478.41121569</v>
      </c>
      <c r="N76" s="73">
        <f t="shared" si="14"/>
        <v>26616888467.402718</v>
      </c>
      <c r="P76" s="557"/>
      <c r="Q76" s="139"/>
      <c r="R76" s="452"/>
      <c r="S76" s="452"/>
      <c r="T76" s="452"/>
      <c r="U76" s="452"/>
      <c r="V76" s="452"/>
      <c r="W76" s="452"/>
      <c r="X76" s="452"/>
      <c r="Y76" s="452"/>
      <c r="Z76" s="139"/>
      <c r="AA76" s="139"/>
      <c r="AI76" s="491"/>
    </row>
    <row r="77" spans="1:35" s="32" customFormat="1" ht="15.75">
      <c r="A77" s="397"/>
      <c r="B77" s="177" t="s">
        <v>174</v>
      </c>
      <c r="C77" s="516">
        <f t="shared" ref="C77:M77" si="22">C76/$N$76</f>
        <v>0.13072005886554192</v>
      </c>
      <c r="D77" s="516">
        <f t="shared" si="22"/>
        <v>0.44367113337567232</v>
      </c>
      <c r="E77" s="516">
        <f t="shared" si="22"/>
        <v>0.1699257294319563</v>
      </c>
      <c r="F77" s="516">
        <f t="shared" si="22"/>
        <v>0.19417641441458114</v>
      </c>
      <c r="G77" s="516">
        <f t="shared" si="22"/>
        <v>1.9874532665155799E-2</v>
      </c>
      <c r="H77" s="516">
        <f t="shared" si="22"/>
        <v>4.9635161393411769E-3</v>
      </c>
      <c r="I77" s="516">
        <f t="shared" si="22"/>
        <v>1.4911016525814627E-2</v>
      </c>
      <c r="J77" s="516">
        <f t="shared" si="22"/>
        <v>1.1257459285103698E-3</v>
      </c>
      <c r="K77" s="516">
        <f t="shared" si="22"/>
        <v>1.4941718687501271E-2</v>
      </c>
      <c r="L77" s="516">
        <f t="shared" si="22"/>
        <v>1.3304270064213463E-4</v>
      </c>
      <c r="M77" s="516">
        <f t="shared" si="22"/>
        <v>5.5570912652830092E-3</v>
      </c>
      <c r="N77" s="516">
        <f t="shared" si="14"/>
        <v>1</v>
      </c>
      <c r="Q77" s="139"/>
    </row>
    <row r="78" spans="1:35" s="32" customFormat="1" ht="15.75">
      <c r="A78" s="27"/>
      <c r="B78" s="50"/>
      <c r="C78" s="29"/>
      <c r="D78" s="132"/>
      <c r="E78" s="132"/>
      <c r="F78" s="132"/>
      <c r="G78" s="30"/>
      <c r="H78" s="30"/>
      <c r="I78" s="30"/>
      <c r="J78" s="30"/>
      <c r="K78" s="30"/>
      <c r="L78" s="30"/>
      <c r="M78" s="30"/>
      <c r="N78" s="30"/>
    </row>
    <row r="79" spans="1:35" s="32" customFormat="1" ht="15.75">
      <c r="A79" s="27"/>
      <c r="B79" s="50"/>
      <c r="C79" s="29"/>
      <c r="D79" s="132"/>
      <c r="E79" s="132"/>
      <c r="F79" s="132"/>
      <c r="G79" s="30"/>
      <c r="H79" s="30"/>
      <c r="I79" s="30"/>
      <c r="J79" s="30"/>
      <c r="K79" s="30"/>
      <c r="L79" s="30"/>
      <c r="M79" s="30"/>
      <c r="N79" s="30"/>
    </row>
    <row r="80" spans="1:35" s="32" customFormat="1" ht="15.75">
      <c r="A80" s="27"/>
      <c r="B80" s="50"/>
      <c r="C80" s="29"/>
      <c r="D80" s="132"/>
      <c r="E80" s="132"/>
      <c r="F80" s="132"/>
      <c r="G80" s="30"/>
      <c r="H80" s="30"/>
      <c r="I80" s="30"/>
      <c r="J80" s="30"/>
      <c r="K80" s="30"/>
      <c r="L80" s="30"/>
      <c r="M80" s="30"/>
      <c r="N80" s="30"/>
    </row>
    <row r="81" spans="1:27" s="32" customFormat="1" ht="17.25" thickBot="1">
      <c r="A81" s="173" t="s">
        <v>202</v>
      </c>
      <c r="B81" s="173"/>
      <c r="C81" s="173"/>
      <c r="D81" s="173"/>
      <c r="E81" s="173"/>
      <c r="F81" s="173"/>
      <c r="G81" s="173"/>
      <c r="H81" s="173"/>
      <c r="I81" s="173"/>
      <c r="J81" s="173"/>
      <c r="K81" s="173"/>
      <c r="L81" s="173"/>
      <c r="M81" s="173"/>
      <c r="N81" s="173"/>
      <c r="Z81" s="139"/>
      <c r="AA81" s="139"/>
    </row>
    <row r="82" spans="1:27" s="32" customFormat="1" ht="16.5" thickTop="1">
      <c r="A82" s="41" t="s">
        <v>6</v>
      </c>
      <c r="B82" s="41" t="s">
        <v>7</v>
      </c>
      <c r="C82" s="71" t="s">
        <v>158</v>
      </c>
      <c r="D82" s="42" t="s">
        <v>159</v>
      </c>
      <c r="E82" s="42" t="s">
        <v>160</v>
      </c>
      <c r="F82" s="42" t="s">
        <v>161</v>
      </c>
      <c r="G82" s="43" t="s">
        <v>162</v>
      </c>
      <c r="H82" s="41" t="s">
        <v>163</v>
      </c>
      <c r="I82" s="41" t="s">
        <v>12</v>
      </c>
      <c r="J82" s="41" t="s">
        <v>164</v>
      </c>
      <c r="K82" s="41" t="s">
        <v>165</v>
      </c>
      <c r="L82" s="44" t="s">
        <v>166</v>
      </c>
      <c r="M82" s="44" t="s">
        <v>180</v>
      </c>
      <c r="N82" s="72" t="s">
        <v>212</v>
      </c>
      <c r="Z82" s="139"/>
      <c r="AA82" s="139"/>
    </row>
    <row r="83" spans="1:27" s="32" customFormat="1" ht="15.75">
      <c r="A83" s="58">
        <v>31</v>
      </c>
      <c r="B83" s="48" t="s">
        <v>14</v>
      </c>
      <c r="C83" s="59">
        <f t="shared" ref="C83:C102" si="23">C54/C28</f>
        <v>620.72514851103813</v>
      </c>
      <c r="D83" s="59">
        <f t="shared" ref="D83:D102" si="24">D54/C28</f>
        <v>1918.0964328143684</v>
      </c>
      <c r="E83" s="59">
        <f t="shared" ref="E83:E102" si="25">E54/C28</f>
        <v>639.555048504703</v>
      </c>
      <c r="F83" s="59">
        <f t="shared" ref="F83:F102" si="26">F54/C28</f>
        <v>771.11503877785515</v>
      </c>
      <c r="G83" s="59">
        <f t="shared" ref="G83:G102" si="27">G54/C28</f>
        <v>178.15650985270031</v>
      </c>
      <c r="H83" s="59">
        <f t="shared" ref="H83:H102" si="28">H54/C28</f>
        <v>28.647997033443691</v>
      </c>
      <c r="I83" s="59">
        <f t="shared" ref="I83:I102" si="29">I54/C28</f>
        <v>0.41166196464255894</v>
      </c>
      <c r="J83" s="59">
        <f t="shared" ref="J83:J102" si="30">J54/C28</f>
        <v>0</v>
      </c>
      <c r="K83" s="59">
        <f t="shared" ref="K83:K102" si="31">K54/C28</f>
        <v>62.228274295782214</v>
      </c>
      <c r="L83" s="59">
        <f t="shared" ref="L83:L102" si="32">L54/C28</f>
        <v>0</v>
      </c>
      <c r="M83" s="59">
        <f t="shared" ref="M83:M102" si="33">M54/C28</f>
        <v>42.385794652623609</v>
      </c>
      <c r="N83" s="49">
        <f t="shared" ref="N83:N105" si="34">SUM(C83:M83)</f>
        <v>4261.3219064071573</v>
      </c>
      <c r="Z83" s="139"/>
      <c r="AA83" s="139"/>
    </row>
    <row r="84" spans="1:27" s="32" customFormat="1" ht="15.75">
      <c r="A84" s="74">
        <v>32</v>
      </c>
      <c r="B84" s="45" t="s">
        <v>41</v>
      </c>
      <c r="C84" s="59">
        <f t="shared" si="23"/>
        <v>620.72514851103813</v>
      </c>
      <c r="D84" s="59">
        <f t="shared" si="24"/>
        <v>1959.8792620331853</v>
      </c>
      <c r="E84" s="59">
        <f t="shared" si="25"/>
        <v>525.28624898654505</v>
      </c>
      <c r="F84" s="59">
        <f t="shared" si="26"/>
        <v>829.03395270456656</v>
      </c>
      <c r="G84" s="59">
        <f t="shared" si="27"/>
        <v>237.05275529698429</v>
      </c>
      <c r="H84" s="59">
        <f t="shared" si="28"/>
        <v>10.601473229725659</v>
      </c>
      <c r="I84" s="59">
        <f t="shared" si="29"/>
        <v>1.2185020859895053</v>
      </c>
      <c r="J84" s="59">
        <f t="shared" si="30"/>
        <v>0</v>
      </c>
      <c r="K84" s="59">
        <f t="shared" si="31"/>
        <v>41.227521608921371</v>
      </c>
      <c r="L84" s="59">
        <f t="shared" si="32"/>
        <v>0</v>
      </c>
      <c r="M84" s="59">
        <f t="shared" si="33"/>
        <v>42.385794652623609</v>
      </c>
      <c r="N84" s="49">
        <f t="shared" si="34"/>
        <v>4267.4106591095788</v>
      </c>
      <c r="Z84" s="139"/>
      <c r="AA84" s="139"/>
    </row>
    <row r="85" spans="1:27" s="32" customFormat="1" ht="15.75">
      <c r="A85" s="74">
        <v>33</v>
      </c>
      <c r="B85" s="45" t="s">
        <v>15</v>
      </c>
      <c r="C85" s="59">
        <f t="shared" si="23"/>
        <v>620.72514851103813</v>
      </c>
      <c r="D85" s="59">
        <f t="shared" si="24"/>
        <v>1782.0960225560314</v>
      </c>
      <c r="E85" s="59">
        <f t="shared" si="25"/>
        <v>515.36651416701159</v>
      </c>
      <c r="F85" s="59">
        <f t="shared" si="26"/>
        <v>686.27338896396384</v>
      </c>
      <c r="G85" s="59">
        <f t="shared" si="27"/>
        <v>166.01240749328619</v>
      </c>
      <c r="H85" s="59">
        <f t="shared" si="28"/>
        <v>59.446881730569821</v>
      </c>
      <c r="I85" s="59">
        <f t="shared" si="29"/>
        <v>11.115480198956787</v>
      </c>
      <c r="J85" s="59">
        <f t="shared" si="30"/>
        <v>0</v>
      </c>
      <c r="K85" s="59">
        <f t="shared" si="31"/>
        <v>79.127180558407375</v>
      </c>
      <c r="L85" s="59">
        <f t="shared" si="32"/>
        <v>0</v>
      </c>
      <c r="M85" s="59">
        <f t="shared" si="33"/>
        <v>42.385794652623609</v>
      </c>
      <c r="N85" s="49">
        <f t="shared" si="34"/>
        <v>3962.5488188318886</v>
      </c>
      <c r="Z85" s="139"/>
      <c r="AA85" s="139"/>
    </row>
    <row r="86" spans="1:27" s="32" customFormat="1" ht="15.75">
      <c r="A86" s="74">
        <v>34</v>
      </c>
      <c r="B86" s="45" t="s">
        <v>16</v>
      </c>
      <c r="C86" s="59">
        <f t="shared" si="23"/>
        <v>620.72514851103813</v>
      </c>
      <c r="D86" s="59">
        <f t="shared" si="24"/>
        <v>2031.1422857663024</v>
      </c>
      <c r="E86" s="59">
        <f t="shared" si="25"/>
        <v>738.83105270352371</v>
      </c>
      <c r="F86" s="59">
        <f t="shared" si="26"/>
        <v>744.83142380840957</v>
      </c>
      <c r="G86" s="59">
        <f t="shared" si="27"/>
        <v>69.445734936960164</v>
      </c>
      <c r="H86" s="59">
        <f t="shared" si="28"/>
        <v>144.47304552592126</v>
      </c>
      <c r="I86" s="59">
        <f t="shared" si="29"/>
        <v>35.673100104966892</v>
      </c>
      <c r="J86" s="59">
        <f t="shared" si="30"/>
        <v>0</v>
      </c>
      <c r="K86" s="59">
        <f t="shared" si="31"/>
        <v>79.117892468964939</v>
      </c>
      <c r="L86" s="59">
        <f t="shared" si="32"/>
        <v>0</v>
      </c>
      <c r="M86" s="59">
        <f t="shared" si="33"/>
        <v>42.385794652623602</v>
      </c>
      <c r="N86" s="49">
        <f t="shared" si="34"/>
        <v>4506.6254784787106</v>
      </c>
      <c r="Z86" s="139"/>
      <c r="AA86" s="139"/>
    </row>
    <row r="87" spans="1:27" s="32" customFormat="1" ht="15.75">
      <c r="A87" s="74">
        <v>35</v>
      </c>
      <c r="B87" s="45" t="s">
        <v>17</v>
      </c>
      <c r="C87" s="59">
        <f t="shared" si="23"/>
        <v>620.72514851103813</v>
      </c>
      <c r="D87" s="59">
        <f t="shared" si="24"/>
        <v>1922.9971995443441</v>
      </c>
      <c r="E87" s="59">
        <f t="shared" si="25"/>
        <v>590.99861326294922</v>
      </c>
      <c r="F87" s="59">
        <f t="shared" si="26"/>
        <v>757.11545746430977</v>
      </c>
      <c r="G87" s="59">
        <f t="shared" si="27"/>
        <v>72.713291947699901</v>
      </c>
      <c r="H87" s="59">
        <f t="shared" si="28"/>
        <v>0</v>
      </c>
      <c r="I87" s="59">
        <f t="shared" si="29"/>
        <v>10.581457634884643</v>
      </c>
      <c r="J87" s="59">
        <f t="shared" si="30"/>
        <v>0</v>
      </c>
      <c r="K87" s="59">
        <f t="shared" si="31"/>
        <v>43.513998472577519</v>
      </c>
      <c r="L87" s="59">
        <f t="shared" si="32"/>
        <v>0</v>
      </c>
      <c r="M87" s="59">
        <f t="shared" si="33"/>
        <v>42.385794652623609</v>
      </c>
      <c r="N87" s="49">
        <f t="shared" si="34"/>
        <v>4061.0309614904268</v>
      </c>
      <c r="Z87" s="139"/>
      <c r="AA87" s="139"/>
    </row>
    <row r="88" spans="1:27" s="32" customFormat="1" ht="15.75">
      <c r="A88" s="45">
        <v>2</v>
      </c>
      <c r="B88" s="45" t="s">
        <v>18</v>
      </c>
      <c r="C88" s="59">
        <f t="shared" si="23"/>
        <v>620.72514851103813</v>
      </c>
      <c r="D88" s="59">
        <f t="shared" si="24"/>
        <v>2208.0799532356132</v>
      </c>
      <c r="E88" s="59">
        <f t="shared" si="25"/>
        <v>877.29249162173562</v>
      </c>
      <c r="F88" s="59">
        <f t="shared" si="26"/>
        <v>945.16078196308274</v>
      </c>
      <c r="G88" s="59">
        <f t="shared" si="27"/>
        <v>96.172011860994729</v>
      </c>
      <c r="H88" s="59">
        <f t="shared" si="28"/>
        <v>29.543008970295801</v>
      </c>
      <c r="I88" s="59">
        <f t="shared" si="29"/>
        <v>28.314154843909883</v>
      </c>
      <c r="J88" s="59">
        <f t="shared" si="30"/>
        <v>39.211343884246112</v>
      </c>
      <c r="K88" s="59">
        <f t="shared" si="31"/>
        <v>67.474854107978047</v>
      </c>
      <c r="L88" s="59">
        <f t="shared" si="32"/>
        <v>0</v>
      </c>
      <c r="M88" s="59">
        <f t="shared" si="33"/>
        <v>42.385794652623609</v>
      </c>
      <c r="N88" s="49">
        <f t="shared" si="34"/>
        <v>4954.3595436515179</v>
      </c>
      <c r="Z88" s="139"/>
      <c r="AA88" s="139"/>
    </row>
    <row r="89" spans="1:27" s="32" customFormat="1" ht="15.75">
      <c r="A89" s="45">
        <v>4</v>
      </c>
      <c r="B89" s="45" t="s">
        <v>19</v>
      </c>
      <c r="C89" s="59">
        <f t="shared" si="23"/>
        <v>620.72514851103813</v>
      </c>
      <c r="D89" s="59">
        <f t="shared" si="24"/>
        <v>2193.3334763539424</v>
      </c>
      <c r="E89" s="59">
        <f t="shared" si="25"/>
        <v>941.10273219619035</v>
      </c>
      <c r="F89" s="59">
        <f t="shared" si="26"/>
        <v>1012.4233946312645</v>
      </c>
      <c r="G89" s="59">
        <f t="shared" si="27"/>
        <v>51.861813408257269</v>
      </c>
      <c r="H89" s="59">
        <f t="shared" si="28"/>
        <v>0</v>
      </c>
      <c r="I89" s="59">
        <f t="shared" si="29"/>
        <v>48.594600897856694</v>
      </c>
      <c r="J89" s="59">
        <f t="shared" si="30"/>
        <v>0</v>
      </c>
      <c r="K89" s="59">
        <f t="shared" si="31"/>
        <v>65.927434619201605</v>
      </c>
      <c r="L89" s="59">
        <f t="shared" si="32"/>
        <v>0</v>
      </c>
      <c r="M89" s="59">
        <f t="shared" si="33"/>
        <v>0</v>
      </c>
      <c r="N89" s="49">
        <f t="shared" si="34"/>
        <v>4933.9686006177499</v>
      </c>
      <c r="Z89" s="139"/>
      <c r="AA89" s="139"/>
    </row>
    <row r="90" spans="1:27" s="32" customFormat="1" ht="15.75">
      <c r="A90" s="45">
        <v>5</v>
      </c>
      <c r="B90" s="45" t="s">
        <v>20</v>
      </c>
      <c r="C90" s="59">
        <f t="shared" si="23"/>
        <v>620.72514851103813</v>
      </c>
      <c r="D90" s="59">
        <f t="shared" si="24"/>
        <v>2204.2395058310499</v>
      </c>
      <c r="E90" s="59">
        <f t="shared" si="25"/>
        <v>896.35984126275048</v>
      </c>
      <c r="F90" s="59">
        <f t="shared" si="26"/>
        <v>929.20154094407883</v>
      </c>
      <c r="G90" s="59">
        <f t="shared" si="27"/>
        <v>57.173644243921018</v>
      </c>
      <c r="H90" s="59">
        <f t="shared" si="28"/>
        <v>0</v>
      </c>
      <c r="I90" s="59">
        <f t="shared" si="29"/>
        <v>40.266102108591809</v>
      </c>
      <c r="J90" s="59">
        <f t="shared" si="30"/>
        <v>0</v>
      </c>
      <c r="K90" s="59">
        <f t="shared" si="31"/>
        <v>79.933813593098179</v>
      </c>
      <c r="L90" s="59">
        <f t="shared" si="32"/>
        <v>0</v>
      </c>
      <c r="M90" s="59">
        <f t="shared" si="33"/>
        <v>0</v>
      </c>
      <c r="N90" s="49">
        <f t="shared" si="34"/>
        <v>4827.8995964945289</v>
      </c>
      <c r="Z90" s="139"/>
      <c r="AA90" s="139"/>
    </row>
    <row r="91" spans="1:27" s="32" customFormat="1" ht="15.75">
      <c r="A91" s="45">
        <v>6</v>
      </c>
      <c r="B91" s="45" t="s">
        <v>21</v>
      </c>
      <c r="C91" s="59">
        <f t="shared" si="23"/>
        <v>620.72514851103813</v>
      </c>
      <c r="D91" s="59">
        <f t="shared" si="24"/>
        <v>2136.1207678553055</v>
      </c>
      <c r="E91" s="59">
        <f t="shared" si="25"/>
        <v>792.70349815961663</v>
      </c>
      <c r="F91" s="59">
        <f t="shared" si="26"/>
        <v>880.1747644340586</v>
      </c>
      <c r="G91" s="59">
        <f t="shared" si="27"/>
        <v>64.491824547359073</v>
      </c>
      <c r="H91" s="59">
        <f t="shared" si="28"/>
        <v>0</v>
      </c>
      <c r="I91" s="59">
        <f t="shared" si="29"/>
        <v>31.877471016573921</v>
      </c>
      <c r="J91" s="59">
        <f t="shared" si="30"/>
        <v>0</v>
      </c>
      <c r="K91" s="59">
        <f t="shared" si="31"/>
        <v>67.618429237635354</v>
      </c>
      <c r="L91" s="59">
        <f t="shared" si="32"/>
        <v>0</v>
      </c>
      <c r="M91" s="59">
        <f t="shared" si="33"/>
        <v>42.385794652623609</v>
      </c>
      <c r="N91" s="49">
        <f t="shared" si="34"/>
        <v>4636.0976984142108</v>
      </c>
      <c r="Z91" s="139"/>
      <c r="AA91" s="139"/>
    </row>
    <row r="92" spans="1:27" s="32" customFormat="1" ht="15.75">
      <c r="A92" s="45">
        <v>7</v>
      </c>
      <c r="B92" s="45" t="s">
        <v>22</v>
      </c>
      <c r="C92" s="59">
        <f t="shared" si="23"/>
        <v>620.72514851103813</v>
      </c>
      <c r="D92" s="59">
        <f t="shared" si="24"/>
        <v>2246.6799141603306</v>
      </c>
      <c r="E92" s="59">
        <f t="shared" si="25"/>
        <v>923.05239236120917</v>
      </c>
      <c r="F92" s="59">
        <f t="shared" si="26"/>
        <v>979.04776941479474</v>
      </c>
      <c r="G92" s="59">
        <f t="shared" si="27"/>
        <v>68.123058291459273</v>
      </c>
      <c r="H92" s="59">
        <f t="shared" si="28"/>
        <v>0</v>
      </c>
      <c r="I92" s="59">
        <f t="shared" si="29"/>
        <v>36.652660362248206</v>
      </c>
      <c r="J92" s="59">
        <f t="shared" si="30"/>
        <v>0</v>
      </c>
      <c r="K92" s="59">
        <f t="shared" si="31"/>
        <v>90.322880231667227</v>
      </c>
      <c r="L92" s="59">
        <f t="shared" si="32"/>
        <v>0</v>
      </c>
      <c r="M92" s="59">
        <f t="shared" si="33"/>
        <v>0</v>
      </c>
      <c r="N92" s="49">
        <f t="shared" si="34"/>
        <v>4964.6038233327472</v>
      </c>
      <c r="Z92" s="139"/>
      <c r="AA92" s="139"/>
    </row>
    <row r="93" spans="1:27" s="32" customFormat="1" ht="15.75">
      <c r="A93" s="45">
        <v>8</v>
      </c>
      <c r="B93" s="45" t="s">
        <v>23</v>
      </c>
      <c r="C93" s="59">
        <f t="shared" si="23"/>
        <v>620.72514851103813</v>
      </c>
      <c r="D93" s="59">
        <f t="shared" si="24"/>
        <v>2372.3413708276862</v>
      </c>
      <c r="E93" s="59">
        <f t="shared" si="25"/>
        <v>1133.6015702001239</v>
      </c>
      <c r="F93" s="59">
        <f t="shared" si="26"/>
        <v>1061.6882030246666</v>
      </c>
      <c r="G93" s="59">
        <f t="shared" si="27"/>
        <v>68.58250842528264</v>
      </c>
      <c r="H93" s="59">
        <f t="shared" si="28"/>
        <v>3.9180072855599866</v>
      </c>
      <c r="I93" s="59">
        <f t="shared" si="29"/>
        <v>38.002388309692478</v>
      </c>
      <c r="J93" s="59">
        <f t="shared" si="30"/>
        <v>0</v>
      </c>
      <c r="K93" s="59">
        <f t="shared" si="31"/>
        <v>59.097149898464792</v>
      </c>
      <c r="L93" s="59">
        <f t="shared" si="32"/>
        <v>0</v>
      </c>
      <c r="M93" s="59">
        <f t="shared" si="33"/>
        <v>0</v>
      </c>
      <c r="N93" s="49">
        <f t="shared" si="34"/>
        <v>5357.9563464825142</v>
      </c>
      <c r="Z93" s="139"/>
      <c r="AA93" s="139"/>
    </row>
    <row r="94" spans="1:27" s="32" customFormat="1" ht="15.75">
      <c r="A94" s="45">
        <v>9</v>
      </c>
      <c r="B94" s="45" t="s">
        <v>24</v>
      </c>
      <c r="C94" s="59">
        <f t="shared" si="23"/>
        <v>620.72514851103824</v>
      </c>
      <c r="D94" s="59">
        <f t="shared" si="24"/>
        <v>2113.8751241633695</v>
      </c>
      <c r="E94" s="59">
        <f t="shared" si="25"/>
        <v>940.43077901478034</v>
      </c>
      <c r="F94" s="59">
        <f t="shared" si="26"/>
        <v>886.07275873653612</v>
      </c>
      <c r="G94" s="59">
        <f t="shared" si="27"/>
        <v>82.207145704537112</v>
      </c>
      <c r="H94" s="59">
        <f t="shared" si="28"/>
        <v>0</v>
      </c>
      <c r="I94" s="59">
        <f t="shared" si="29"/>
        <v>55.889620157356113</v>
      </c>
      <c r="J94" s="59">
        <f t="shared" si="30"/>
        <v>0</v>
      </c>
      <c r="K94" s="59">
        <f t="shared" si="31"/>
        <v>71.852604548920368</v>
      </c>
      <c r="L94" s="59">
        <f t="shared" si="32"/>
        <v>0</v>
      </c>
      <c r="M94" s="59">
        <f t="shared" si="33"/>
        <v>0</v>
      </c>
      <c r="N94" s="49">
        <f t="shared" si="34"/>
        <v>4771.0531808365376</v>
      </c>
      <c r="Z94" s="139"/>
      <c r="AA94" s="139"/>
    </row>
    <row r="95" spans="1:27" s="32" customFormat="1" ht="15.75">
      <c r="A95" s="45">
        <v>10</v>
      </c>
      <c r="B95" s="45" t="s">
        <v>25</v>
      </c>
      <c r="C95" s="59">
        <f t="shared" si="23"/>
        <v>620.72514851103813</v>
      </c>
      <c r="D95" s="59">
        <f t="shared" si="24"/>
        <v>2435.5341672845493</v>
      </c>
      <c r="E95" s="59">
        <f t="shared" si="25"/>
        <v>1195.4842308027844</v>
      </c>
      <c r="F95" s="59">
        <f t="shared" si="26"/>
        <v>1108.0055013509671</v>
      </c>
      <c r="G95" s="59">
        <f t="shared" si="27"/>
        <v>50.823922677811908</v>
      </c>
      <c r="H95" s="59">
        <f t="shared" si="28"/>
        <v>0</v>
      </c>
      <c r="I95" s="59">
        <f t="shared" si="29"/>
        <v>128.33762997487003</v>
      </c>
      <c r="J95" s="59">
        <f t="shared" si="30"/>
        <v>38.536480608889917</v>
      </c>
      <c r="K95" s="59">
        <f t="shared" si="31"/>
        <v>94.809153965022588</v>
      </c>
      <c r="L95" s="59">
        <f t="shared" si="32"/>
        <v>0</v>
      </c>
      <c r="M95" s="59">
        <f t="shared" si="33"/>
        <v>0</v>
      </c>
      <c r="N95" s="49">
        <f t="shared" si="34"/>
        <v>5672.2562351759334</v>
      </c>
      <c r="Z95" s="139"/>
      <c r="AA95" s="139"/>
    </row>
    <row r="96" spans="1:27" s="32" customFormat="1" ht="15.75">
      <c r="A96" s="45">
        <v>11</v>
      </c>
      <c r="B96" s="45" t="s">
        <v>26</v>
      </c>
      <c r="C96" s="59">
        <f t="shared" si="23"/>
        <v>620.72514851103813</v>
      </c>
      <c r="D96" s="59">
        <f t="shared" si="24"/>
        <v>2298.8489278339066</v>
      </c>
      <c r="E96" s="59">
        <f t="shared" si="25"/>
        <v>968.46437773626565</v>
      </c>
      <c r="F96" s="59">
        <f t="shared" si="26"/>
        <v>1090.9057705898267</v>
      </c>
      <c r="G96" s="59">
        <f t="shared" si="27"/>
        <v>45.810036556471054</v>
      </c>
      <c r="H96" s="59">
        <f t="shared" si="28"/>
        <v>0</v>
      </c>
      <c r="I96" s="59">
        <f t="shared" si="29"/>
        <v>91.484142392527204</v>
      </c>
      <c r="J96" s="59">
        <f t="shared" si="30"/>
        <v>0</v>
      </c>
      <c r="K96" s="59">
        <f t="shared" si="31"/>
        <v>94.242887379075981</v>
      </c>
      <c r="L96" s="59">
        <f t="shared" si="32"/>
        <v>0</v>
      </c>
      <c r="M96" s="59">
        <f t="shared" si="33"/>
        <v>42.385794652623616</v>
      </c>
      <c r="N96" s="49">
        <f t="shared" si="34"/>
        <v>5252.8670856517347</v>
      </c>
      <c r="Z96" s="139"/>
      <c r="AA96" s="139"/>
    </row>
    <row r="97" spans="1:27" s="32" customFormat="1" ht="15.75">
      <c r="A97" s="45">
        <v>12</v>
      </c>
      <c r="B97" s="45" t="s">
        <v>27</v>
      </c>
      <c r="C97" s="59">
        <f t="shared" si="23"/>
        <v>620.72514851103813</v>
      </c>
      <c r="D97" s="59">
        <f t="shared" si="24"/>
        <v>2513.2401819785568</v>
      </c>
      <c r="E97" s="59">
        <f t="shared" si="25"/>
        <v>1071.6035689537273</v>
      </c>
      <c r="F97" s="59">
        <f t="shared" si="26"/>
        <v>1173.6701927490535</v>
      </c>
      <c r="G97" s="59">
        <f t="shared" si="27"/>
        <v>57.357044197276309</v>
      </c>
      <c r="H97" s="59">
        <f t="shared" si="28"/>
        <v>0</v>
      </c>
      <c r="I97" s="59">
        <f t="shared" si="29"/>
        <v>152.15275304749116</v>
      </c>
      <c r="J97" s="59">
        <f t="shared" si="30"/>
        <v>0</v>
      </c>
      <c r="K97" s="59">
        <f t="shared" si="31"/>
        <v>63.049792822319468</v>
      </c>
      <c r="L97" s="59">
        <f t="shared" si="32"/>
        <v>0</v>
      </c>
      <c r="M97" s="59">
        <f t="shared" si="33"/>
        <v>0</v>
      </c>
      <c r="N97" s="49">
        <f t="shared" si="34"/>
        <v>5651.798682259463</v>
      </c>
      <c r="Z97" s="139"/>
      <c r="AA97" s="139"/>
    </row>
    <row r="98" spans="1:27" s="32" customFormat="1" ht="15.75">
      <c r="A98" s="45">
        <v>13</v>
      </c>
      <c r="B98" s="45" t="s">
        <v>28</v>
      </c>
      <c r="C98" s="59">
        <f t="shared" si="23"/>
        <v>620.72514851103813</v>
      </c>
      <c r="D98" s="59">
        <f t="shared" si="24"/>
        <v>2044.9601365478277</v>
      </c>
      <c r="E98" s="59">
        <f t="shared" si="25"/>
        <v>819.19823508647653</v>
      </c>
      <c r="F98" s="59">
        <f t="shared" si="26"/>
        <v>941.29121883162691</v>
      </c>
      <c r="G98" s="59">
        <f t="shared" si="27"/>
        <v>47.740709431729115</v>
      </c>
      <c r="H98" s="59">
        <f t="shared" si="28"/>
        <v>0</v>
      </c>
      <c r="I98" s="59">
        <f t="shared" si="29"/>
        <v>76.800942664599404</v>
      </c>
      <c r="J98" s="59">
        <f t="shared" si="30"/>
        <v>0</v>
      </c>
      <c r="K98" s="59">
        <f t="shared" si="31"/>
        <v>67.730446487978384</v>
      </c>
      <c r="L98" s="59">
        <f t="shared" si="32"/>
        <v>0</v>
      </c>
      <c r="M98" s="59">
        <f t="shared" si="33"/>
        <v>0</v>
      </c>
      <c r="N98" s="49">
        <f t="shared" si="34"/>
        <v>4618.446837561276</v>
      </c>
      <c r="Z98" s="139"/>
      <c r="AA98" s="139"/>
    </row>
    <row r="99" spans="1:27" s="32" customFormat="1" ht="15.75">
      <c r="A99" s="45">
        <v>14</v>
      </c>
      <c r="B99" s="45" t="s">
        <v>29</v>
      </c>
      <c r="C99" s="59">
        <f t="shared" si="23"/>
        <v>620.72514851103813</v>
      </c>
      <c r="D99" s="59">
        <f t="shared" si="24"/>
        <v>2304.776472388226</v>
      </c>
      <c r="E99" s="59">
        <f t="shared" si="25"/>
        <v>1031.6116463256928</v>
      </c>
      <c r="F99" s="59">
        <f t="shared" si="26"/>
        <v>1009.7628665098374</v>
      </c>
      <c r="G99" s="59">
        <f t="shared" si="27"/>
        <v>37.758822097578602</v>
      </c>
      <c r="H99" s="59">
        <f t="shared" si="28"/>
        <v>0</v>
      </c>
      <c r="I99" s="59">
        <f t="shared" si="29"/>
        <v>95.337353095935597</v>
      </c>
      <c r="J99" s="59">
        <f t="shared" si="30"/>
        <v>0</v>
      </c>
      <c r="K99" s="59">
        <f t="shared" si="31"/>
        <v>122.85321745122197</v>
      </c>
      <c r="L99" s="59">
        <f t="shared" si="32"/>
        <v>0</v>
      </c>
      <c r="M99" s="59">
        <f t="shared" si="33"/>
        <v>0</v>
      </c>
      <c r="N99" s="49">
        <f t="shared" si="34"/>
        <v>5222.8255263795299</v>
      </c>
      <c r="Z99" s="139"/>
      <c r="AA99" s="139"/>
    </row>
    <row r="100" spans="1:27" s="32" customFormat="1" ht="15.75">
      <c r="A100" s="45">
        <v>15</v>
      </c>
      <c r="B100" s="45" t="s">
        <v>30</v>
      </c>
      <c r="C100" s="59">
        <f t="shared" si="23"/>
        <v>620.72514851103813</v>
      </c>
      <c r="D100" s="59">
        <f t="shared" si="24"/>
        <v>1985.2254286465911</v>
      </c>
      <c r="E100" s="59">
        <f t="shared" si="25"/>
        <v>765.36687207547197</v>
      </c>
      <c r="F100" s="59">
        <f t="shared" si="26"/>
        <v>766.45917267418213</v>
      </c>
      <c r="G100" s="59">
        <f t="shared" si="27"/>
        <v>93.141525304159103</v>
      </c>
      <c r="H100" s="59">
        <f t="shared" si="28"/>
        <v>262.22093200367743</v>
      </c>
      <c r="I100" s="59">
        <f t="shared" si="29"/>
        <v>54.348389622237569</v>
      </c>
      <c r="J100" s="59">
        <f t="shared" si="30"/>
        <v>26.666294644645752</v>
      </c>
      <c r="K100" s="59">
        <f t="shared" si="31"/>
        <v>72.231792741751065</v>
      </c>
      <c r="L100" s="59">
        <f t="shared" si="32"/>
        <v>0</v>
      </c>
      <c r="M100" s="59">
        <f t="shared" si="33"/>
        <v>0</v>
      </c>
      <c r="N100" s="49">
        <f t="shared" si="34"/>
        <v>4646.3855562237532</v>
      </c>
      <c r="Z100" s="139"/>
      <c r="AA100" s="139"/>
    </row>
    <row r="101" spans="1:27" s="32" customFormat="1" ht="15.75">
      <c r="A101" s="45">
        <v>16</v>
      </c>
      <c r="B101" s="45" t="s">
        <v>31</v>
      </c>
      <c r="C101" s="59">
        <f t="shared" si="23"/>
        <v>620.72514851103813</v>
      </c>
      <c r="D101" s="59">
        <f t="shared" si="24"/>
        <v>2271.8281996639184</v>
      </c>
      <c r="E101" s="59">
        <f t="shared" si="25"/>
        <v>949.03812443400739</v>
      </c>
      <c r="F101" s="59">
        <f t="shared" si="26"/>
        <v>1093.4271618303055</v>
      </c>
      <c r="G101" s="59">
        <f t="shared" si="27"/>
        <v>42.272880580752037</v>
      </c>
      <c r="H101" s="59">
        <f t="shared" si="28"/>
        <v>46.216339930218652</v>
      </c>
      <c r="I101" s="59">
        <f t="shared" si="29"/>
        <v>97.281594419932077</v>
      </c>
      <c r="J101" s="59">
        <f t="shared" si="30"/>
        <v>0</v>
      </c>
      <c r="K101" s="59">
        <f t="shared" si="31"/>
        <v>52.410746997395655</v>
      </c>
      <c r="L101" s="59">
        <f t="shared" si="32"/>
        <v>0</v>
      </c>
      <c r="M101" s="59">
        <f t="shared" si="33"/>
        <v>0</v>
      </c>
      <c r="N101" s="49">
        <f t="shared" si="34"/>
        <v>5173.2001963675684</v>
      </c>
      <c r="Z101" s="139"/>
      <c r="AA101" s="139"/>
    </row>
    <row r="102" spans="1:27" s="32" customFormat="1" ht="15.75">
      <c r="A102" s="45">
        <v>17</v>
      </c>
      <c r="B102" s="45" t="s">
        <v>32</v>
      </c>
      <c r="C102" s="59">
        <f t="shared" si="23"/>
        <v>620.72514851103813</v>
      </c>
      <c r="D102" s="59">
        <f t="shared" si="24"/>
        <v>2053.4217007265102</v>
      </c>
      <c r="E102" s="59">
        <f t="shared" si="25"/>
        <v>787.04869830884172</v>
      </c>
      <c r="F102" s="59">
        <f t="shared" si="26"/>
        <v>1109.2325250654435</v>
      </c>
      <c r="G102" s="59">
        <f t="shared" si="27"/>
        <v>40.279751708641619</v>
      </c>
      <c r="H102" s="59">
        <f t="shared" si="28"/>
        <v>0</v>
      </c>
      <c r="I102" s="59">
        <f t="shared" si="29"/>
        <v>115.53932522755896</v>
      </c>
      <c r="J102" s="59">
        <f t="shared" si="30"/>
        <v>1.9340346176662133</v>
      </c>
      <c r="K102" s="59">
        <f t="shared" si="31"/>
        <v>65.075999507658267</v>
      </c>
      <c r="L102" s="59">
        <f t="shared" si="32"/>
        <v>0</v>
      </c>
      <c r="M102" s="59">
        <f t="shared" si="33"/>
        <v>42.385794652623609</v>
      </c>
      <c r="N102" s="49">
        <f t="shared" si="34"/>
        <v>4835.6429783259828</v>
      </c>
      <c r="Z102" s="139"/>
      <c r="AA102" s="139"/>
    </row>
    <row r="103" spans="1:27" s="32" customFormat="1" ht="15.75">
      <c r="A103" s="45">
        <v>18</v>
      </c>
      <c r="B103" s="45" t="s">
        <v>33</v>
      </c>
      <c r="C103" s="59">
        <f t="shared" ref="C103:C105" si="35">C74/C48</f>
        <v>620.72514851103813</v>
      </c>
      <c r="D103" s="59">
        <f t="shared" ref="D103:D105" si="36">D74/C48</f>
        <v>2396.9991240975546</v>
      </c>
      <c r="E103" s="59">
        <f t="shared" ref="E103:E105" si="37">E74/C48</f>
        <v>1143.6868609026178</v>
      </c>
      <c r="F103" s="59">
        <f t="shared" ref="F103:F105" si="38">F74/C48</f>
        <v>1156.9678739564395</v>
      </c>
      <c r="G103" s="59">
        <f t="shared" ref="G103:G105" si="39">G74/C48</f>
        <v>51.083792412939609</v>
      </c>
      <c r="H103" s="59">
        <f t="shared" ref="H103:H105" si="40">H74/C48</f>
        <v>0</v>
      </c>
      <c r="I103" s="59">
        <f t="shared" ref="I103:I105" si="41">I74/C48</f>
        <v>380.62097700723467</v>
      </c>
      <c r="J103" s="59">
        <f t="shared" ref="J103:J105" si="42">J74/C48</f>
        <v>0</v>
      </c>
      <c r="K103" s="59">
        <f t="shared" ref="K103:K105" si="43">K74/C48</f>
        <v>84.398573897242031</v>
      </c>
      <c r="L103" s="59">
        <f t="shared" ref="L103:L105" si="44">L74/C48</f>
        <v>0</v>
      </c>
      <c r="M103" s="59">
        <f t="shared" ref="M103:M105" si="45">M74/C48</f>
        <v>0</v>
      </c>
      <c r="N103" s="49">
        <f t="shared" si="34"/>
        <v>5834.482350785067</v>
      </c>
      <c r="Z103" s="139"/>
      <c r="AA103" s="139"/>
    </row>
    <row r="104" spans="1:27" s="32" customFormat="1" ht="15.75">
      <c r="A104" s="45">
        <v>19</v>
      </c>
      <c r="B104" s="45" t="s">
        <v>34</v>
      </c>
      <c r="C104" s="59">
        <f t="shared" si="35"/>
        <v>620.72514851103813</v>
      </c>
      <c r="D104" s="59">
        <f t="shared" si="36"/>
        <v>2355.0278010154207</v>
      </c>
      <c r="E104" s="59">
        <f t="shared" si="37"/>
        <v>1003.1950338995082</v>
      </c>
      <c r="F104" s="59">
        <f t="shared" si="38"/>
        <v>1234.4501414644453</v>
      </c>
      <c r="G104" s="59">
        <f t="shared" si="39"/>
        <v>41.266312755189055</v>
      </c>
      <c r="H104" s="59">
        <f t="shared" si="40"/>
        <v>0</v>
      </c>
      <c r="I104" s="59">
        <f t="shared" si="41"/>
        <v>690.54667535138583</v>
      </c>
      <c r="J104" s="59">
        <f t="shared" si="42"/>
        <v>0</v>
      </c>
      <c r="K104" s="59">
        <f t="shared" si="43"/>
        <v>83.32507216416289</v>
      </c>
      <c r="L104" s="59">
        <f t="shared" si="44"/>
        <v>20.103108834998071</v>
      </c>
      <c r="M104" s="59">
        <f t="shared" si="45"/>
        <v>0</v>
      </c>
      <c r="N104" s="49">
        <f t="shared" si="34"/>
        <v>6048.6392939961479</v>
      </c>
    </row>
    <row r="105" spans="1:27" s="109" customFormat="1" ht="15.75">
      <c r="A105" s="47"/>
      <c r="B105" s="48" t="s">
        <v>35</v>
      </c>
      <c r="C105" s="49">
        <f t="shared" si="35"/>
        <v>620.72514851103813</v>
      </c>
      <c r="D105" s="49">
        <f t="shared" si="36"/>
        <v>2106.775597752353</v>
      </c>
      <c r="E105" s="49">
        <f t="shared" si="37"/>
        <v>806.89355981694393</v>
      </c>
      <c r="F105" s="49">
        <f t="shared" si="38"/>
        <v>922.04811350956174</v>
      </c>
      <c r="G105" s="49">
        <f t="shared" si="39"/>
        <v>94.374362643576447</v>
      </c>
      <c r="H105" s="49">
        <f t="shared" si="40"/>
        <v>23.569292421284548</v>
      </c>
      <c r="I105" s="49">
        <f t="shared" si="41"/>
        <v>70.805070222291917</v>
      </c>
      <c r="J105" s="49">
        <f t="shared" si="42"/>
        <v>5.3456127141057719</v>
      </c>
      <c r="K105" s="49">
        <f t="shared" si="43"/>
        <v>70.950859659949344</v>
      </c>
      <c r="L105" s="49">
        <f t="shared" si="44"/>
        <v>0.63175422984886409</v>
      </c>
      <c r="M105" s="49">
        <f t="shared" si="45"/>
        <v>26.387888215994867</v>
      </c>
      <c r="N105" s="49">
        <f t="shared" si="34"/>
        <v>4748.5072596969476</v>
      </c>
    </row>
    <row r="106" spans="1:27" s="32" customFormat="1" ht="15.75">
      <c r="A106" s="45"/>
      <c r="B106" s="45" t="s">
        <v>174</v>
      </c>
      <c r="C106" s="75">
        <f t="shared" ref="C106:N106" si="46">C105/$N$105</f>
        <v>0.13072005886554192</v>
      </c>
      <c r="D106" s="75">
        <f t="shared" si="46"/>
        <v>0.44367113337567238</v>
      </c>
      <c r="E106" s="75">
        <f t="shared" si="46"/>
        <v>0.16992572943195633</v>
      </c>
      <c r="F106" s="75">
        <f t="shared" si="46"/>
        <v>0.19417641441458117</v>
      </c>
      <c r="G106" s="75">
        <f t="shared" si="46"/>
        <v>1.9874532665155802E-2</v>
      </c>
      <c r="H106" s="75">
        <f t="shared" si="46"/>
        <v>4.9635161393411778E-3</v>
      </c>
      <c r="I106" s="75">
        <f t="shared" si="46"/>
        <v>1.4911016525814627E-2</v>
      </c>
      <c r="J106" s="75">
        <f t="shared" si="46"/>
        <v>1.1257459285103698E-3</v>
      </c>
      <c r="K106" s="75">
        <f t="shared" si="46"/>
        <v>1.4941718687501274E-2</v>
      </c>
      <c r="L106" s="75">
        <f t="shared" si="46"/>
        <v>1.3304270064213463E-4</v>
      </c>
      <c r="M106" s="75">
        <f t="shared" si="46"/>
        <v>5.5570912652830092E-3</v>
      </c>
      <c r="N106" s="75">
        <f t="shared" si="46"/>
        <v>1</v>
      </c>
    </row>
    <row r="107" spans="1:27" s="32" customFormat="1">
      <c r="A107" s="27"/>
      <c r="B107" s="27"/>
      <c r="C107" s="27"/>
      <c r="D107" s="27"/>
      <c r="E107" s="27"/>
      <c r="F107" s="27"/>
      <c r="G107" s="27"/>
      <c r="H107" s="27"/>
      <c r="I107" s="27"/>
      <c r="J107" s="27"/>
      <c r="K107" s="27"/>
      <c r="L107" s="27"/>
      <c r="M107" s="27"/>
      <c r="N107" s="27"/>
    </row>
  </sheetData>
  <mergeCells count="1">
    <mergeCell ref="A3:C3"/>
  </mergeCells>
  <phoneticPr fontId="55" type="noConversion"/>
  <pageMargins left="0.7" right="0.7" top="0.75" bottom="0.75" header="0.3" footer="0.3"/>
  <pageSetup paperSize="9" orientation="portrait" r:id="rId1"/>
  <ignoredErrors>
    <ignoredError sqref="C23" formula="1"/>
  </ignoredError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P100"/>
  <sheetViews>
    <sheetView zoomScale="42" zoomScaleNormal="85" workbookViewId="0"/>
  </sheetViews>
  <sheetFormatPr defaultRowHeight="14.25"/>
  <cols>
    <col min="1" max="1" width="44.75" style="1" customWidth="1"/>
    <col min="2" max="2" width="25.375" style="1" customWidth="1"/>
    <col min="3" max="3" width="25.5" style="1" customWidth="1"/>
    <col min="4" max="4" width="21.75" style="1" customWidth="1"/>
    <col min="5" max="5" width="17.875" style="1" customWidth="1"/>
    <col min="6" max="6" width="18.375" style="1" customWidth="1"/>
    <col min="7" max="7" width="21.25" style="1" customWidth="1"/>
    <col min="8" max="8" width="14" customWidth="1"/>
    <col min="9" max="9" width="13.125" bestFit="1" customWidth="1"/>
    <col min="10" max="10" width="13.125" customWidth="1"/>
    <col min="12" max="12" width="14.75" bestFit="1" customWidth="1"/>
    <col min="13" max="13" width="11.875" bestFit="1" customWidth="1"/>
    <col min="14" max="14" width="14.75" bestFit="1" customWidth="1"/>
  </cols>
  <sheetData>
    <row r="1" spans="1:7" ht="20.25">
      <c r="A1" s="183" t="s">
        <v>175</v>
      </c>
    </row>
    <row r="2" spans="1:7" ht="15">
      <c r="A2" s="1" t="str">
        <f>INFO!A2</f>
        <v>VM/HVO 18.12.2025</v>
      </c>
      <c r="B2" s="31"/>
      <c r="C2" s="31"/>
      <c r="D2" s="31"/>
      <c r="E2" s="31"/>
      <c r="F2" s="31"/>
      <c r="G2" s="31"/>
    </row>
    <row r="3" spans="1:7" ht="63" customHeight="1">
      <c r="A3" s="569" t="s">
        <v>439</v>
      </c>
      <c r="B3" s="569"/>
      <c r="C3" s="569"/>
      <c r="D3" s="569"/>
      <c r="E3" s="31"/>
      <c r="F3" s="31"/>
      <c r="G3" s="92"/>
    </row>
    <row r="4" spans="1:7" ht="15.75">
      <c r="A4" s="97"/>
      <c r="B4" s="97"/>
      <c r="C4" s="95"/>
      <c r="D4" s="27"/>
      <c r="E4" s="31"/>
      <c r="F4" s="31"/>
      <c r="G4" s="92"/>
    </row>
    <row r="5" spans="1:7" ht="16.5">
      <c r="A5" s="482" t="s">
        <v>175</v>
      </c>
      <c r="B5" s="40"/>
      <c r="C5" s="28"/>
      <c r="D5" s="27"/>
      <c r="E5" s="31"/>
      <c r="F5" s="31"/>
      <c r="G5" s="26"/>
    </row>
    <row r="6" spans="1:7" ht="15.75">
      <c r="A6" s="168" t="s">
        <v>418</v>
      </c>
      <c r="B6" s="169" t="s">
        <v>0</v>
      </c>
      <c r="C6" s="483"/>
      <c r="D6" s="27"/>
      <c r="E6" s="31"/>
      <c r="F6" s="31"/>
      <c r="G6" s="140"/>
    </row>
    <row r="7" spans="1:7" ht="15.75">
      <c r="A7" s="142" t="s">
        <v>36</v>
      </c>
      <c r="B7" s="237">
        <f>Määräytymistekijät!C30</f>
        <v>5605317</v>
      </c>
      <c r="C7" s="484"/>
      <c r="D7" s="27"/>
      <c r="E7" s="31"/>
      <c r="F7" s="31"/>
      <c r="G7" s="130"/>
    </row>
    <row r="8" spans="1:7" ht="15.75">
      <c r="A8" s="142" t="s">
        <v>419</v>
      </c>
      <c r="B8" s="143">
        <f>'Rahoituksen taso 2026'!B9+'Rahoituksen taso 2026'!B14+'Rahoituksen taso 2026'!B21</f>
        <v>597880599.76671648</v>
      </c>
      <c r="C8" s="484"/>
      <c r="D8" s="27"/>
      <c r="E8" s="31"/>
      <c r="F8" s="31"/>
      <c r="G8" s="130"/>
    </row>
    <row r="9" spans="1:7" ht="15.75">
      <c r="A9" s="146" t="s">
        <v>251</v>
      </c>
      <c r="B9" s="485" t="s">
        <v>0</v>
      </c>
      <c r="C9" s="484"/>
      <c r="D9" s="27"/>
      <c r="E9" s="31"/>
      <c r="F9" s="31"/>
      <c r="G9" s="130"/>
    </row>
    <row r="10" spans="1:7" ht="15.75">
      <c r="A10" s="394" t="s">
        <v>158</v>
      </c>
      <c r="B10" s="394">
        <f>'Rahoituksen taso 2026'!B17</f>
        <v>-109825.14410827543</v>
      </c>
      <c r="C10" s="481"/>
      <c r="D10" s="27"/>
      <c r="E10" s="31"/>
      <c r="F10" s="31"/>
      <c r="G10" s="130"/>
    </row>
    <row r="11" spans="1:7" ht="15.75">
      <c r="A11" s="395" t="s">
        <v>4</v>
      </c>
      <c r="B11" s="395">
        <f>B10</f>
        <v>-109825.14410827543</v>
      </c>
      <c r="C11" s="481"/>
      <c r="D11" s="27"/>
      <c r="E11" s="31"/>
      <c r="F11" s="31"/>
      <c r="G11" s="130"/>
    </row>
    <row r="12" spans="1:7" ht="15.75">
      <c r="A12" s="487" t="s">
        <v>420</v>
      </c>
      <c r="B12" s="486">
        <f>B8+B11</f>
        <v>597770774.62260818</v>
      </c>
      <c r="C12" s="481"/>
      <c r="D12" s="27"/>
      <c r="E12" s="31"/>
      <c r="F12" s="31"/>
      <c r="G12" s="130"/>
    </row>
    <row r="13" spans="1:7" ht="36" customHeight="1">
      <c r="A13"/>
      <c r="B13"/>
      <c r="C13" s="27"/>
      <c r="D13" s="27"/>
      <c r="E13" s="31"/>
      <c r="F13" s="31"/>
      <c r="G13" s="140"/>
    </row>
    <row r="14" spans="1:7" ht="17.25" thickBot="1">
      <c r="A14" s="174" t="s">
        <v>167</v>
      </c>
      <c r="B14" s="173"/>
      <c r="C14" s="173"/>
      <c r="D14" s="173"/>
      <c r="E14" s="173"/>
      <c r="F14" s="76"/>
      <c r="G14" s="130"/>
    </row>
    <row r="15" spans="1:7" ht="16.5" thickTop="1">
      <c r="A15" s="37" t="s">
        <v>176</v>
      </c>
      <c r="B15" s="195" t="s">
        <v>158</v>
      </c>
      <c r="C15" s="195" t="s">
        <v>12</v>
      </c>
      <c r="D15" s="195" t="s">
        <v>177</v>
      </c>
      <c r="E15" s="196" t="s">
        <v>4</v>
      </c>
      <c r="F15" s="76"/>
      <c r="G15" s="92"/>
    </row>
    <row r="16" spans="1:7" ht="15">
      <c r="A16" s="398" t="s">
        <v>386</v>
      </c>
      <c r="B16" s="391">
        <v>0.6500453309156845</v>
      </c>
      <c r="C16" s="392">
        <v>4.9864007252946513E-2</v>
      </c>
      <c r="D16" s="392">
        <v>0.30009066183136901</v>
      </c>
      <c r="E16" s="392">
        <f>SUM(B16:D16)</f>
        <v>1</v>
      </c>
      <c r="F16" s="103"/>
      <c r="G16" s="92"/>
    </row>
    <row r="17" spans="1:7" ht="30">
      <c r="A17" s="199" t="s">
        <v>421</v>
      </c>
      <c r="B17" s="77">
        <f>B16*$B$8+B10</f>
        <v>388539667.17931485</v>
      </c>
      <c r="C17" s="77">
        <f t="shared" ref="C17:D17" si="0">C16*$B$8</f>
        <v>29812722.56316356</v>
      </c>
      <c r="D17" s="77">
        <f t="shared" si="0"/>
        <v>179418384.88012978</v>
      </c>
      <c r="E17" s="78">
        <f>SUM(B17:D17)</f>
        <v>597770774.62260818</v>
      </c>
      <c r="F17" s="76"/>
      <c r="G17" s="92"/>
    </row>
    <row r="18" spans="1:7" ht="15.75">
      <c r="A18" s="79" t="s">
        <v>219</v>
      </c>
      <c r="B18" s="201">
        <f>B17/B7</f>
        <v>69.316270101996878</v>
      </c>
      <c r="C18" s="201">
        <f>C17/B7</f>
        <v>5.3186505889254008</v>
      </c>
      <c r="D18" s="201">
        <f>D17/B7</f>
        <v>32.008606271532862</v>
      </c>
      <c r="E18" s="202"/>
      <c r="F18" s="76"/>
      <c r="G18" s="92"/>
    </row>
    <row r="19" spans="1:7" ht="30">
      <c r="A19" s="488" t="s">
        <v>422</v>
      </c>
      <c r="B19" s="489">
        <f>B17/$B$12</f>
        <v>0.64998103566473686</v>
      </c>
      <c r="C19" s="489">
        <f t="shared" ref="C19:D19" si="1">C17/$B$12</f>
        <v>4.9873168493366517E-2</v>
      </c>
      <c r="D19" s="489">
        <f t="shared" si="1"/>
        <v>0.30014579584189666</v>
      </c>
      <c r="E19" s="489">
        <f>B19+C19+D19</f>
        <v>1</v>
      </c>
      <c r="F19" s="76"/>
      <c r="G19" s="92"/>
    </row>
    <row r="20" spans="1:7" ht="15">
      <c r="A20" s="76"/>
      <c r="B20" s="76"/>
      <c r="C20" s="76"/>
      <c r="D20" s="76"/>
      <c r="E20" s="76"/>
      <c r="F20" s="76"/>
      <c r="G20" s="92"/>
    </row>
    <row r="21" spans="1:7" ht="17.25" thickBot="1">
      <c r="A21" s="173" t="s">
        <v>213</v>
      </c>
      <c r="B21" s="173"/>
      <c r="C21" s="173"/>
      <c r="D21" s="173"/>
      <c r="E21" s="173"/>
      <c r="F21" s="76"/>
      <c r="G21" s="31"/>
    </row>
    <row r="22" spans="1:7" ht="32.25" thickTop="1">
      <c r="A22" s="80" t="s">
        <v>6</v>
      </c>
      <c r="B22" s="80" t="s">
        <v>7</v>
      </c>
      <c r="C22" s="80" t="s">
        <v>36</v>
      </c>
      <c r="D22" s="80" t="s">
        <v>37</v>
      </c>
      <c r="E22" s="80" t="s">
        <v>40</v>
      </c>
      <c r="F22" s="76"/>
      <c r="G22" s="31"/>
    </row>
    <row r="23" spans="1:7" ht="15">
      <c r="A23" s="76">
        <v>31</v>
      </c>
      <c r="B23" s="76" t="s">
        <v>14</v>
      </c>
      <c r="C23" s="78">
        <f>Määräytymistekijät!C8</f>
        <v>684018</v>
      </c>
      <c r="D23" s="82">
        <f>Määräytymistekijät!F35</f>
        <v>1.5527929174700713E-2</v>
      </c>
      <c r="E23" s="83">
        <f>Määräytymistekijät!L35</f>
        <v>0.40120892264092639</v>
      </c>
      <c r="F23" s="103"/>
      <c r="G23" s="31"/>
    </row>
    <row r="24" spans="1:7" ht="15">
      <c r="A24" s="76">
        <v>32</v>
      </c>
      <c r="B24" s="76" t="s">
        <v>41</v>
      </c>
      <c r="C24" s="78">
        <f>Määräytymistekijät!C9</f>
        <v>289730</v>
      </c>
      <c r="D24" s="82">
        <f>Määräytymistekijät!F36</f>
        <v>1.3892287141556922E-2</v>
      </c>
      <c r="E24" s="83">
        <f>Määräytymistekijät!L36</f>
        <v>0.7388210312382596</v>
      </c>
      <c r="F24" s="76"/>
      <c r="G24" s="31"/>
    </row>
    <row r="25" spans="1:7" ht="15">
      <c r="A25" s="76">
        <v>33</v>
      </c>
      <c r="B25" s="76" t="s">
        <v>15</v>
      </c>
      <c r="C25" s="78">
        <f>Määräytymistekijät!C10</f>
        <v>502067</v>
      </c>
      <c r="D25" s="82">
        <f>Määräytymistekijät!F37</f>
        <v>0.23233437032867954</v>
      </c>
      <c r="E25" s="83">
        <f>Määräytymistekijät!L37</f>
        <v>0.80898068340193996</v>
      </c>
      <c r="F25" s="76"/>
      <c r="G25" s="31"/>
    </row>
    <row r="26" spans="1:7" ht="15">
      <c r="A26" s="76">
        <v>34</v>
      </c>
      <c r="B26" s="76" t="s">
        <v>16</v>
      </c>
      <c r="C26" s="78">
        <f>Määräytymistekijät!C11</f>
        <v>99415</v>
      </c>
      <c r="D26" s="82">
        <f>Määräytymistekijät!F38</f>
        <v>0.8212346226898829</v>
      </c>
      <c r="E26" s="83">
        <f>Määräytymistekijät!L38</f>
        <v>1.1594058485715486</v>
      </c>
      <c r="F26" s="76"/>
      <c r="G26" s="31"/>
    </row>
    <row r="27" spans="1:7" ht="15">
      <c r="A27" s="76">
        <v>35</v>
      </c>
      <c r="B27" s="76" t="s">
        <v>17</v>
      </c>
      <c r="C27" s="78">
        <f>Määräytymistekijät!C12</f>
        <v>207070</v>
      </c>
      <c r="D27" s="82">
        <f>Määräytymistekijät!F39</f>
        <v>0.12299672860888844</v>
      </c>
      <c r="E27" s="83">
        <f>Määräytymistekijät!L39</f>
        <v>0.98736380456375084</v>
      </c>
      <c r="F27" s="76"/>
      <c r="G27" s="31"/>
    </row>
    <row r="28" spans="1:7" ht="15">
      <c r="A28" s="76">
        <v>2</v>
      </c>
      <c r="B28" s="76" t="s">
        <v>18</v>
      </c>
      <c r="C28" s="78">
        <f>Määräytymistekijät!C13</f>
        <v>494819</v>
      </c>
      <c r="D28" s="82">
        <f>Määräytymistekijät!F40</f>
        <v>0.61616194267070146</v>
      </c>
      <c r="E28" s="83">
        <f>Määräytymistekijät!L40</f>
        <v>1.0509957511434833</v>
      </c>
      <c r="F28" s="76"/>
      <c r="G28" s="31"/>
    </row>
    <row r="29" spans="1:7" ht="15">
      <c r="A29" s="76">
        <v>4</v>
      </c>
      <c r="B29" s="76" t="s">
        <v>19</v>
      </c>
      <c r="C29" s="78">
        <f>Määräytymistekijät!C14</f>
        <v>211261</v>
      </c>
      <c r="D29" s="82">
        <f>Määräytymistekijät!F41</f>
        <v>0.80761518271727217</v>
      </c>
      <c r="E29" s="83">
        <f>Määräytymistekijät!L41</f>
        <v>1.4938831283296556</v>
      </c>
      <c r="F29" s="76"/>
      <c r="G29" s="31"/>
    </row>
    <row r="30" spans="1:7" ht="15">
      <c r="A30" s="76">
        <v>5</v>
      </c>
      <c r="B30" s="76" t="s">
        <v>20</v>
      </c>
      <c r="C30" s="78">
        <f>Määräytymistekijät!C15</f>
        <v>169455</v>
      </c>
      <c r="D30" s="82">
        <f>Määräytymistekijät!F42</f>
        <v>0.50002600287084986</v>
      </c>
      <c r="E30" s="83">
        <f>Määräytymistekijät!L42</f>
        <v>1.076974376815413</v>
      </c>
      <c r="F30" s="76"/>
      <c r="G30" s="31"/>
    </row>
    <row r="31" spans="1:7" ht="15">
      <c r="A31" s="76">
        <v>6</v>
      </c>
      <c r="B31" s="76" t="s">
        <v>21</v>
      </c>
      <c r="C31" s="78">
        <f>Määräytymistekijät!C16</f>
        <v>545406</v>
      </c>
      <c r="D31" s="82">
        <f>Määräytymistekijät!F43</f>
        <v>0.42324083005315233</v>
      </c>
      <c r="E31" s="83">
        <f>Määräytymistekijät!L43</f>
        <v>0.86042755944813964</v>
      </c>
      <c r="F31" s="76"/>
      <c r="G31" s="31"/>
    </row>
    <row r="32" spans="1:7" ht="15">
      <c r="A32" s="76">
        <v>7</v>
      </c>
      <c r="B32" s="76" t="s">
        <v>22</v>
      </c>
      <c r="C32" s="78">
        <f>Määräytymistekijät!C17</f>
        <v>204635</v>
      </c>
      <c r="D32" s="82">
        <f>Määräytymistekijät!F44</f>
        <v>0.50358750158145626</v>
      </c>
      <c r="E32" s="83">
        <f>Määräytymistekijät!L44</f>
        <v>1.0862835835808682</v>
      </c>
      <c r="F32" s="76"/>
      <c r="G32" s="31"/>
    </row>
    <row r="33" spans="1:7" ht="15">
      <c r="A33" s="76">
        <v>8</v>
      </c>
      <c r="B33" s="76" t="s">
        <v>23</v>
      </c>
      <c r="C33" s="78">
        <f>Määräytymistekijät!C18</f>
        <v>157442</v>
      </c>
      <c r="D33" s="82">
        <f>Määräytymistekijät!F45</f>
        <v>0.63820781871819143</v>
      </c>
      <c r="E33" s="83">
        <f>Määräytymistekijät!L45</f>
        <v>1.5513418980566245</v>
      </c>
      <c r="F33" s="76"/>
      <c r="G33" s="31"/>
    </row>
    <row r="34" spans="1:7" ht="15">
      <c r="A34" s="76">
        <v>9</v>
      </c>
      <c r="B34" s="76" t="s">
        <v>24</v>
      </c>
      <c r="C34" s="78">
        <f>Määräytymistekijät!C19</f>
        <v>125083</v>
      </c>
      <c r="D34" s="82">
        <f>Määräytymistekijät!F46</f>
        <v>0.81560914979133148</v>
      </c>
      <c r="E34" s="83">
        <f>Määräytymistekijät!L46</f>
        <v>1.3932002692439882</v>
      </c>
      <c r="F34" s="76"/>
      <c r="G34" s="31"/>
    </row>
    <row r="35" spans="1:7" ht="15">
      <c r="A35" s="76">
        <v>10</v>
      </c>
      <c r="B35" s="76" t="s">
        <v>25</v>
      </c>
      <c r="C35" s="78">
        <f>Määräytymistekijät!C20</f>
        <v>129376</v>
      </c>
      <c r="D35" s="82">
        <f>Määräytymistekijät!F47</f>
        <v>1.9620367794363505</v>
      </c>
      <c r="E35" s="83">
        <f>Määräytymistekijät!L47</f>
        <v>1.431819149391895</v>
      </c>
      <c r="F35" s="76"/>
      <c r="G35" s="31"/>
    </row>
    <row r="36" spans="1:7" ht="15">
      <c r="A36" s="76">
        <v>11</v>
      </c>
      <c r="B36" s="76" t="s">
        <v>26</v>
      </c>
      <c r="C36" s="78">
        <f>Määräytymistekijät!C21</f>
        <v>248815</v>
      </c>
      <c r="D36" s="82">
        <f>Määräytymistekijät!F48</f>
        <v>1.2575956974679698</v>
      </c>
      <c r="E36" s="83">
        <f>Määräytymistekijät!L48</f>
        <v>1.0202422100093489</v>
      </c>
      <c r="F36" s="76"/>
      <c r="G36" s="31"/>
    </row>
    <row r="37" spans="1:7" ht="15">
      <c r="A37" s="76">
        <v>12</v>
      </c>
      <c r="B37" s="76" t="s">
        <v>27</v>
      </c>
      <c r="C37" s="78">
        <f>Määräytymistekijät!C22</f>
        <v>162091</v>
      </c>
      <c r="D37" s="82">
        <f>Määräytymistekijät!F49</f>
        <v>2.0976204459012715</v>
      </c>
      <c r="E37" s="83">
        <f>Määräytymistekijät!L49</f>
        <v>1.2613496308309275</v>
      </c>
      <c r="F37" s="76"/>
      <c r="G37" s="31"/>
    </row>
    <row r="38" spans="1:7" ht="15">
      <c r="A38" s="76">
        <v>13</v>
      </c>
      <c r="B38" s="76" t="s">
        <v>28</v>
      </c>
      <c r="C38" s="78">
        <f>Määräytymistekijät!C23</f>
        <v>274112</v>
      </c>
      <c r="D38" s="82">
        <f>Määräytymistekijät!F50</f>
        <v>1.0296521791486504</v>
      </c>
      <c r="E38" s="83">
        <f>Määräytymistekijät!L50</f>
        <v>1.0262045367155626</v>
      </c>
      <c r="F38" s="76"/>
      <c r="G38" s="31"/>
    </row>
    <row r="39" spans="1:7" ht="15">
      <c r="A39" s="76">
        <v>14</v>
      </c>
      <c r="B39" s="76" t="s">
        <v>29</v>
      </c>
      <c r="C39" s="78">
        <f>Määräytymistekijät!C24</f>
        <v>189929</v>
      </c>
      <c r="D39" s="82">
        <f>Määräytymistekijät!F51</f>
        <v>1.1220740687003832</v>
      </c>
      <c r="E39" s="83">
        <f>Määräytymistekijät!L51</f>
        <v>1.3510096232378739</v>
      </c>
      <c r="F39" s="76"/>
      <c r="G39" s="31"/>
    </row>
    <row r="40" spans="1:7" ht="15">
      <c r="A40" s="76">
        <v>15</v>
      </c>
      <c r="B40" s="76" t="s">
        <v>30</v>
      </c>
      <c r="C40" s="78">
        <f>Määräytymistekijät!C25</f>
        <v>178749</v>
      </c>
      <c r="D40" s="82">
        <f>Määräytymistekijät!F52</f>
        <v>1.4811388007433584</v>
      </c>
      <c r="E40" s="83">
        <f>Määräytymistekijät!L52</f>
        <v>1.2205669920020026</v>
      </c>
      <c r="F40" s="76"/>
      <c r="G40" s="31"/>
    </row>
    <row r="41" spans="1:7" ht="15">
      <c r="A41" s="76">
        <v>16</v>
      </c>
      <c r="B41" s="76" t="s">
        <v>31</v>
      </c>
      <c r="C41" s="78">
        <f>Määräytymistekijät!C26</f>
        <v>67723</v>
      </c>
      <c r="D41" s="82">
        <f>Määräytymistekijät!F53</f>
        <v>1.4167580036938228</v>
      </c>
      <c r="E41" s="83">
        <f>Määräytymistekijät!L53</f>
        <v>1.2156909388848747</v>
      </c>
      <c r="F41" s="76"/>
      <c r="G41" s="31"/>
    </row>
    <row r="42" spans="1:7" ht="15">
      <c r="A42" s="76">
        <v>17</v>
      </c>
      <c r="B42" s="76" t="s">
        <v>32</v>
      </c>
      <c r="C42" s="78">
        <f>Määräytymistekijät!C27</f>
        <v>418331</v>
      </c>
      <c r="D42" s="82">
        <f>Määräytymistekijät!F54</f>
        <v>1.6271514340633941</v>
      </c>
      <c r="E42" s="83">
        <f>Määräytymistekijät!L54</f>
        <v>1.0627548095936996</v>
      </c>
      <c r="F42" s="76"/>
      <c r="G42" s="31"/>
    </row>
    <row r="43" spans="1:7" ht="15">
      <c r="A43" s="76">
        <v>18</v>
      </c>
      <c r="B43" s="76" t="s">
        <v>33</v>
      </c>
      <c r="C43" s="78">
        <f>Määräytymistekijät!C28</f>
        <v>69639</v>
      </c>
      <c r="D43" s="82">
        <f>Määräytymistekijät!F55</f>
        <v>4.8365003698819082</v>
      </c>
      <c r="E43" s="83">
        <f>Määräytymistekijät!L55</f>
        <v>1.4186918959910457</v>
      </c>
      <c r="F43" s="76"/>
      <c r="G43" s="31"/>
    </row>
    <row r="44" spans="1:7" ht="15">
      <c r="A44" s="76">
        <v>19</v>
      </c>
      <c r="B44" s="76" t="s">
        <v>34</v>
      </c>
      <c r="C44" s="78">
        <f>Määräytymistekijät!C29</f>
        <v>176151</v>
      </c>
      <c r="D44" s="82">
        <f>Määräytymistekijät!F56</f>
        <v>8.4585311786291211</v>
      </c>
      <c r="E44" s="83">
        <f>Määräytymistekijät!L56</f>
        <v>1.3476251511070392</v>
      </c>
      <c r="F44" s="76"/>
      <c r="G44" s="31"/>
    </row>
    <row r="45" spans="1:7" ht="15.75">
      <c r="A45" s="81"/>
      <c r="B45" s="76" t="s">
        <v>35</v>
      </c>
      <c r="C45" s="84">
        <f>Määräytymistekijät!C30</f>
        <v>5605317</v>
      </c>
      <c r="D45" s="85">
        <f>Määräytymistekijät!F57</f>
        <v>1</v>
      </c>
      <c r="E45" s="86">
        <f>Määräytymistekijät!L57</f>
        <v>1</v>
      </c>
      <c r="F45" s="76"/>
      <c r="G45" s="31"/>
    </row>
    <row r="46" spans="1:7" ht="15">
      <c r="A46" s="76"/>
      <c r="B46" s="76"/>
      <c r="C46" s="76"/>
      <c r="D46" s="76"/>
      <c r="E46" s="76"/>
      <c r="F46" s="76"/>
      <c r="G46" s="31"/>
    </row>
    <row r="47" spans="1:7" ht="17.25" thickBot="1">
      <c r="A47" s="173" t="s">
        <v>198</v>
      </c>
      <c r="B47" s="173"/>
      <c r="C47" s="173"/>
      <c r="D47" s="173"/>
      <c r="E47" s="173"/>
      <c r="F47" s="173"/>
      <c r="G47" s="87"/>
    </row>
    <row r="48" spans="1:7" ht="16.5" thickTop="1">
      <c r="A48" s="167" t="s">
        <v>6</v>
      </c>
      <c r="B48" s="167" t="s">
        <v>7</v>
      </c>
      <c r="C48" s="167" t="s">
        <v>158</v>
      </c>
      <c r="D48" s="167" t="s">
        <v>12</v>
      </c>
      <c r="E48" s="167" t="s">
        <v>177</v>
      </c>
      <c r="F48" s="167" t="s">
        <v>196</v>
      </c>
      <c r="G48" s="87"/>
    </row>
    <row r="49" spans="1:16" ht="15.75">
      <c r="A49" s="166">
        <v>31</v>
      </c>
      <c r="B49" s="166" t="s">
        <v>14</v>
      </c>
      <c r="C49" s="160">
        <f>C23*$B$18</f>
        <v>47413576.442627698</v>
      </c>
      <c r="D49" s="160">
        <f>D23*C23*$C$18</f>
        <v>56491.425257806375</v>
      </c>
      <c r="E49" s="160">
        <f>E23*C23*$D$18</f>
        <v>8784253.849700354</v>
      </c>
      <c r="F49" s="299">
        <f>SUM(C49:E49)</f>
        <v>56254321.717585862</v>
      </c>
      <c r="G49" s="31"/>
      <c r="H49" s="206"/>
      <c r="I49" s="206"/>
      <c r="J49" s="206"/>
      <c r="L49" s="206"/>
      <c r="M49" s="206"/>
      <c r="N49" s="206"/>
      <c r="P49" s="206"/>
    </row>
    <row r="50" spans="1:16" ht="15.75">
      <c r="A50" s="166">
        <v>32</v>
      </c>
      <c r="B50" s="166" t="s">
        <v>41</v>
      </c>
      <c r="C50" s="160">
        <f t="shared" ref="C50:C71" si="2">C24*$B$18</f>
        <v>20083002.936651554</v>
      </c>
      <c r="D50" s="160">
        <f t="shared" ref="D50:D71" si="3">D24*C24*$C$18</f>
        <v>21407.634324498642</v>
      </c>
      <c r="E50" s="160">
        <f t="shared" ref="E50:E71" si="4">E24*C24*$D$18</f>
        <v>6851718.0027662776</v>
      </c>
      <c r="F50" s="299">
        <f t="shared" ref="F50:F71" si="5">SUM(C50:E50)</f>
        <v>26956128.57374233</v>
      </c>
      <c r="G50" s="31"/>
      <c r="H50" s="206"/>
      <c r="I50" s="206"/>
      <c r="J50" s="206"/>
      <c r="L50" s="206"/>
      <c r="M50" s="206"/>
      <c r="N50" s="206"/>
      <c r="P50" s="206"/>
    </row>
    <row r="51" spans="1:16" ht="15.75">
      <c r="A51" s="166">
        <v>33</v>
      </c>
      <c r="B51" s="166" t="s">
        <v>15</v>
      </c>
      <c r="C51" s="160">
        <f t="shared" si="2"/>
        <v>34801411.781299263</v>
      </c>
      <c r="D51" s="160">
        <f t="shared" si="3"/>
        <v>620406.87071675796</v>
      </c>
      <c r="E51" s="160">
        <f t="shared" si="4"/>
        <v>13000695.697556525</v>
      </c>
      <c r="F51" s="299">
        <f t="shared" si="5"/>
        <v>48422514.349572547</v>
      </c>
      <c r="G51" s="31"/>
      <c r="H51" s="206"/>
      <c r="I51" s="206"/>
      <c r="J51" s="206"/>
      <c r="L51" s="206"/>
      <c r="M51" s="206"/>
      <c r="N51" s="206"/>
      <c r="P51" s="206"/>
    </row>
    <row r="52" spans="1:16" ht="15.75">
      <c r="A52" s="166">
        <v>34</v>
      </c>
      <c r="B52" s="166" t="s">
        <v>16</v>
      </c>
      <c r="C52" s="160">
        <f t="shared" si="2"/>
        <v>6891076.9921900192</v>
      </c>
      <c r="D52" s="160">
        <f t="shared" si="3"/>
        <v>434230.80285592243</v>
      </c>
      <c r="E52" s="160">
        <f t="shared" si="4"/>
        <v>3689386.6168741491</v>
      </c>
      <c r="F52" s="299">
        <f t="shared" si="5"/>
        <v>11014694.411920091</v>
      </c>
      <c r="G52" s="31"/>
      <c r="H52" s="206"/>
      <c r="I52" s="206"/>
      <c r="J52" s="206"/>
      <c r="L52" s="206"/>
      <c r="M52" s="206"/>
      <c r="N52" s="206"/>
      <c r="P52" s="206"/>
    </row>
    <row r="53" spans="1:16" ht="15.75">
      <c r="A53" s="166">
        <v>35</v>
      </c>
      <c r="B53" s="166" t="s">
        <v>17</v>
      </c>
      <c r="C53" s="160">
        <f t="shared" si="2"/>
        <v>14353320.050020494</v>
      </c>
      <c r="D53" s="160">
        <f t="shared" si="3"/>
        <v>135460.35333528699</v>
      </c>
      <c r="E53" s="160">
        <f t="shared" si="4"/>
        <v>6544269.1180267651</v>
      </c>
      <c r="F53" s="299">
        <f t="shared" si="5"/>
        <v>21033049.521382548</v>
      </c>
      <c r="G53" s="31"/>
      <c r="H53" s="206"/>
      <c r="I53" s="206"/>
      <c r="J53" s="206"/>
      <c r="L53" s="206"/>
      <c r="M53" s="206"/>
      <c r="N53" s="206"/>
      <c r="P53" s="206"/>
    </row>
    <row r="54" spans="1:16" ht="15.75">
      <c r="A54" s="166">
        <v>2</v>
      </c>
      <c r="B54" s="166" t="s">
        <v>18</v>
      </c>
      <c r="C54" s="160">
        <f t="shared" si="2"/>
        <v>34299007.455599993</v>
      </c>
      <c r="D54" s="160">
        <f t="shared" si="3"/>
        <v>1621596.1250688322</v>
      </c>
      <c r="E54" s="160">
        <f t="shared" si="4"/>
        <v>16646161.045182174</v>
      </c>
      <c r="F54" s="299">
        <f t="shared" si="5"/>
        <v>52566764.625850998</v>
      </c>
      <c r="G54" s="31"/>
      <c r="H54" s="206"/>
      <c r="I54" s="206"/>
      <c r="J54" s="206"/>
      <c r="L54" s="206"/>
      <c r="M54" s="206"/>
      <c r="N54" s="206"/>
      <c r="P54" s="206"/>
    </row>
    <row r="55" spans="1:16" ht="15.75">
      <c r="A55" s="166">
        <v>4</v>
      </c>
      <c r="B55" s="166" t="s">
        <v>19</v>
      </c>
      <c r="C55" s="160">
        <f t="shared" si="2"/>
        <v>14643824.538017962</v>
      </c>
      <c r="D55" s="160">
        <f t="shared" si="3"/>
        <v>907455.35147032549</v>
      </c>
      <c r="E55" s="160">
        <f t="shared" si="4"/>
        <v>10101891.927155407</v>
      </c>
      <c r="F55" s="299">
        <f t="shared" si="5"/>
        <v>25653171.816643693</v>
      </c>
      <c r="G55" s="31"/>
      <c r="H55" s="206"/>
      <c r="I55" s="206"/>
      <c r="J55" s="206"/>
      <c r="L55" s="206"/>
      <c r="M55" s="206"/>
      <c r="N55" s="206"/>
      <c r="P55" s="206"/>
    </row>
    <row r="56" spans="1:16" ht="15.75">
      <c r="A56" s="166">
        <v>5</v>
      </c>
      <c r="B56" s="166" t="s">
        <v>20</v>
      </c>
      <c r="C56" s="160">
        <f t="shared" si="2"/>
        <v>11745988.55013388</v>
      </c>
      <c r="D56" s="160">
        <f t="shared" si="3"/>
        <v>450659.40343091747</v>
      </c>
      <c r="E56" s="160">
        <f t="shared" si="4"/>
        <v>5841528.8100507362</v>
      </c>
      <c r="F56" s="299">
        <f t="shared" si="5"/>
        <v>18038176.763615534</v>
      </c>
      <c r="G56" s="31"/>
      <c r="H56" s="206"/>
      <c r="I56" s="206"/>
      <c r="J56" s="206"/>
      <c r="L56" s="206"/>
      <c r="M56" s="206"/>
      <c r="N56" s="206"/>
      <c r="P56" s="206"/>
    </row>
    <row r="57" spans="1:16" ht="15.75">
      <c r="A57" s="166">
        <v>6</v>
      </c>
      <c r="B57" s="166" t="s">
        <v>21</v>
      </c>
      <c r="C57" s="160">
        <f t="shared" si="2"/>
        <v>37805509.611249708</v>
      </c>
      <c r="D57" s="160">
        <f t="shared" si="3"/>
        <v>1227747.1335171612</v>
      </c>
      <c r="E57" s="160">
        <f t="shared" si="4"/>
        <v>15021074.082987607</v>
      </c>
      <c r="F57" s="299">
        <f t="shared" si="5"/>
        <v>54054330.827754475</v>
      </c>
      <c r="G57" s="31"/>
      <c r="H57" s="206"/>
      <c r="I57" s="206"/>
      <c r="J57" s="206"/>
      <c r="L57" s="206"/>
      <c r="M57" s="206"/>
      <c r="N57" s="206"/>
      <c r="P57" s="206"/>
    </row>
    <row r="58" spans="1:16" ht="15.75">
      <c r="A58" s="166">
        <v>7</v>
      </c>
      <c r="B58" s="166" t="s">
        <v>22</v>
      </c>
      <c r="C58" s="160">
        <f t="shared" si="2"/>
        <v>14184534.932322131</v>
      </c>
      <c r="D58" s="160">
        <f t="shared" si="3"/>
        <v>548095.60400556563</v>
      </c>
      <c r="E58" s="160">
        <f t="shared" si="4"/>
        <v>7115245.618257287</v>
      </c>
      <c r="F58" s="299">
        <f t="shared" si="5"/>
        <v>21847876.154584985</v>
      </c>
      <c r="G58" s="31"/>
      <c r="H58" s="206"/>
      <c r="I58" s="206"/>
      <c r="J58" s="206"/>
      <c r="L58" s="206"/>
      <c r="M58" s="206"/>
      <c r="N58" s="206"/>
      <c r="P58" s="206"/>
    </row>
    <row r="59" spans="1:16" ht="15.75">
      <c r="A59" s="166">
        <v>8</v>
      </c>
      <c r="B59" s="166" t="s">
        <v>23</v>
      </c>
      <c r="C59" s="160">
        <f t="shared" si="2"/>
        <v>10913292.197398592</v>
      </c>
      <c r="D59" s="160">
        <f t="shared" si="3"/>
        <v>534421.81610929174</v>
      </c>
      <c r="E59" s="160">
        <f t="shared" si="4"/>
        <v>7817985.9262333158</v>
      </c>
      <c r="F59" s="299">
        <f t="shared" si="5"/>
        <v>19265699.939741202</v>
      </c>
      <c r="G59" s="31"/>
      <c r="H59" s="206"/>
      <c r="I59" s="206"/>
      <c r="J59" s="206"/>
      <c r="L59" s="206"/>
      <c r="M59" s="206"/>
      <c r="N59" s="206"/>
      <c r="P59" s="206"/>
    </row>
    <row r="60" spans="1:16" ht="15.75">
      <c r="A60" s="166">
        <v>9</v>
      </c>
      <c r="B60" s="166" t="s">
        <v>24</v>
      </c>
      <c r="C60" s="160">
        <f t="shared" si="2"/>
        <v>8670287.0131680761</v>
      </c>
      <c r="D60" s="160">
        <f t="shared" si="3"/>
        <v>542602.55963587051</v>
      </c>
      <c r="E60" s="160">
        <f t="shared" si="4"/>
        <v>5578001.1945597259</v>
      </c>
      <c r="F60" s="299">
        <f t="shared" si="5"/>
        <v>14790890.767363671</v>
      </c>
      <c r="G60" s="31"/>
      <c r="H60" s="206"/>
      <c r="I60" s="206"/>
      <c r="J60" s="206"/>
      <c r="L60" s="206"/>
      <c r="M60" s="206"/>
      <c r="N60" s="206"/>
      <c r="P60" s="206"/>
    </row>
    <row r="61" spans="1:16" ht="15.75">
      <c r="A61" s="166">
        <v>10</v>
      </c>
      <c r="B61" s="166" t="s">
        <v>25</v>
      </c>
      <c r="C61" s="160">
        <f t="shared" si="2"/>
        <v>8967861.7607159484</v>
      </c>
      <c r="D61" s="160">
        <f t="shared" si="3"/>
        <v>1350088.7672603135</v>
      </c>
      <c r="E61" s="160">
        <f t="shared" si="4"/>
        <v>5929371.3485477399</v>
      </c>
      <c r="F61" s="299">
        <f t="shared" si="5"/>
        <v>16247321.876524001</v>
      </c>
      <c r="G61" s="31"/>
      <c r="H61" s="206"/>
      <c r="I61" s="206"/>
      <c r="J61" s="206"/>
      <c r="L61" s="206"/>
      <c r="M61" s="206"/>
      <c r="N61" s="206"/>
      <c r="P61" s="206"/>
    </row>
    <row r="62" spans="1:16" ht="15.75">
      <c r="A62" s="166">
        <v>11</v>
      </c>
      <c r="B62" s="166" t="s">
        <v>26</v>
      </c>
      <c r="C62" s="160">
        <f t="shared" si="2"/>
        <v>17246927.745428354</v>
      </c>
      <c r="D62" s="160">
        <f t="shared" si="3"/>
        <v>1664251.9004071096</v>
      </c>
      <c r="E62" s="160">
        <f t="shared" si="4"/>
        <v>8125434.8109728303</v>
      </c>
      <c r="F62" s="299">
        <f t="shared" si="5"/>
        <v>27036614.456808291</v>
      </c>
      <c r="G62" s="31"/>
      <c r="H62" s="206"/>
      <c r="I62" s="206"/>
      <c r="J62" s="206"/>
      <c r="L62" s="206"/>
      <c r="M62" s="206"/>
      <c r="N62" s="206"/>
      <c r="P62" s="206"/>
    </row>
    <row r="63" spans="1:16" ht="15.75">
      <c r="A63" s="166">
        <v>12</v>
      </c>
      <c r="B63" s="166" t="s">
        <v>27</v>
      </c>
      <c r="C63" s="160">
        <f t="shared" si="2"/>
        <v>11235543.537102776</v>
      </c>
      <c r="D63" s="160">
        <f t="shared" si="3"/>
        <v>1808369.898059445</v>
      </c>
      <c r="E63" s="160">
        <f t="shared" si="4"/>
        <v>6544269.1180267641</v>
      </c>
      <c r="F63" s="299">
        <f t="shared" si="5"/>
        <v>19588182.553188983</v>
      </c>
      <c r="G63" s="31"/>
      <c r="H63" s="206"/>
      <c r="I63" s="206"/>
      <c r="J63" s="206"/>
      <c r="L63" s="206"/>
      <c r="M63" s="206"/>
      <c r="N63" s="206"/>
      <c r="P63" s="206"/>
    </row>
    <row r="64" spans="1:16" ht="15.75">
      <c r="A64" s="166">
        <v>13</v>
      </c>
      <c r="B64" s="166" t="s">
        <v>28</v>
      </c>
      <c r="C64" s="160">
        <f t="shared" si="2"/>
        <v>19000421.430198569</v>
      </c>
      <c r="D64" s="160">
        <f t="shared" si="3"/>
        <v>1501136.038649668</v>
      </c>
      <c r="E64" s="160">
        <f t="shared" si="4"/>
        <v>9003860.1959428657</v>
      </c>
      <c r="F64" s="299">
        <f t="shared" si="5"/>
        <v>29505417.6647911</v>
      </c>
      <c r="G64" s="31"/>
      <c r="H64" s="206"/>
      <c r="I64" s="206"/>
      <c r="J64" s="206"/>
      <c r="L64" s="206"/>
      <c r="M64" s="206"/>
      <c r="N64" s="206"/>
      <c r="P64" s="206"/>
    </row>
    <row r="65" spans="1:16" ht="15.75">
      <c r="A65" s="166">
        <v>14</v>
      </c>
      <c r="B65" s="166" t="s">
        <v>29</v>
      </c>
      <c r="C65" s="160">
        <f t="shared" si="2"/>
        <v>13165169.864202164</v>
      </c>
      <c r="D65" s="160">
        <f t="shared" si="3"/>
        <v>1133481.0598857824</v>
      </c>
      <c r="E65" s="160">
        <f t="shared" si="4"/>
        <v>8213277.3494698331</v>
      </c>
      <c r="F65" s="299">
        <f t="shared" si="5"/>
        <v>22511928.273557782</v>
      </c>
      <c r="G65" s="88"/>
      <c r="H65" s="206"/>
      <c r="I65" s="206"/>
      <c r="J65" s="206"/>
      <c r="L65" s="206"/>
      <c r="M65" s="206"/>
      <c r="N65" s="206"/>
      <c r="P65" s="206"/>
    </row>
    <row r="66" spans="1:16" ht="15.75">
      <c r="A66" s="166">
        <v>15</v>
      </c>
      <c r="B66" s="166" t="s">
        <v>30</v>
      </c>
      <c r="C66" s="160">
        <f t="shared" si="2"/>
        <v>12390213.964461841</v>
      </c>
      <c r="D66" s="160">
        <f t="shared" si="3"/>
        <v>1408123.8035203842</v>
      </c>
      <c r="E66" s="160">
        <f t="shared" si="4"/>
        <v>6983481.8105117828</v>
      </c>
      <c r="F66" s="299">
        <f t="shared" si="5"/>
        <v>20781819.578494009</v>
      </c>
      <c r="G66" s="89"/>
      <c r="H66" s="206"/>
      <c r="I66" s="206"/>
      <c r="J66" s="206"/>
      <c r="L66" s="206"/>
      <c r="M66" s="206"/>
      <c r="N66" s="206"/>
      <c r="P66" s="206"/>
    </row>
    <row r="67" spans="1:16" ht="15.75">
      <c r="A67" s="166">
        <v>16</v>
      </c>
      <c r="B67" s="166" t="s">
        <v>31</v>
      </c>
      <c r="C67" s="160">
        <f t="shared" si="2"/>
        <v>4694305.7601175345</v>
      </c>
      <c r="D67" s="160">
        <f t="shared" si="3"/>
        <v>510309.11206931603</v>
      </c>
      <c r="E67" s="160">
        <f t="shared" si="4"/>
        <v>2635276.1549101067</v>
      </c>
      <c r="F67" s="299">
        <f t="shared" si="5"/>
        <v>7839891.027096957</v>
      </c>
      <c r="G67" s="88"/>
      <c r="H67" s="206"/>
      <c r="I67" s="206"/>
      <c r="J67" s="206"/>
      <c r="L67" s="206"/>
      <c r="M67" s="206"/>
      <c r="N67" s="206"/>
      <c r="P67" s="206"/>
    </row>
    <row r="68" spans="1:16" ht="15.75">
      <c r="A68" s="166">
        <v>17</v>
      </c>
      <c r="B68" s="166" t="s">
        <v>32</v>
      </c>
      <c r="C68" s="160">
        <f t="shared" si="2"/>
        <v>28997144.588038456</v>
      </c>
      <c r="D68" s="160">
        <f t="shared" si="3"/>
        <v>3620341.0287436103</v>
      </c>
      <c r="E68" s="160">
        <f t="shared" si="4"/>
        <v>14230491.236514576</v>
      </c>
      <c r="F68" s="299">
        <f t="shared" si="5"/>
        <v>46847976.853296638</v>
      </c>
      <c r="G68" s="90"/>
      <c r="H68" s="206"/>
      <c r="I68" s="206"/>
      <c r="J68" s="206"/>
      <c r="L68" s="206"/>
      <c r="M68" s="206"/>
      <c r="N68" s="206"/>
      <c r="P68" s="206"/>
    </row>
    <row r="69" spans="1:16" ht="15.75">
      <c r="A69" s="166">
        <v>18</v>
      </c>
      <c r="B69" s="166" t="s">
        <v>33</v>
      </c>
      <c r="C69" s="160">
        <f t="shared" si="2"/>
        <v>4827115.7336329604</v>
      </c>
      <c r="D69" s="160">
        <f t="shared" si="3"/>
        <v>1791369.6481925629</v>
      </c>
      <c r="E69" s="160">
        <f t="shared" si="4"/>
        <v>3162331.3858921281</v>
      </c>
      <c r="F69" s="299">
        <f t="shared" si="5"/>
        <v>9780816.767717652</v>
      </c>
      <c r="G69" s="31"/>
      <c r="H69" s="206"/>
      <c r="I69" s="206"/>
      <c r="J69" s="206"/>
      <c r="L69" s="206"/>
      <c r="M69" s="206"/>
      <c r="N69" s="206"/>
      <c r="P69" s="206"/>
    </row>
    <row r="70" spans="1:16" ht="15.75">
      <c r="A70" s="166">
        <v>19</v>
      </c>
      <c r="B70" s="166" t="s">
        <v>34</v>
      </c>
      <c r="C70" s="160">
        <f t="shared" si="2"/>
        <v>12210130.294736853</v>
      </c>
      <c r="D70" s="160">
        <f t="shared" si="3"/>
        <v>7924676.2266471302</v>
      </c>
      <c r="E70" s="160">
        <f t="shared" si="4"/>
        <v>7598379.5799908079</v>
      </c>
      <c r="F70" s="299">
        <f t="shared" si="5"/>
        <v>27733186.10137479</v>
      </c>
      <c r="G70" s="31"/>
      <c r="H70" s="206"/>
      <c r="I70" s="206"/>
      <c r="J70" s="206"/>
      <c r="L70" s="206"/>
      <c r="M70" s="206"/>
      <c r="N70" s="206"/>
      <c r="P70" s="206"/>
    </row>
    <row r="71" spans="1:16" ht="15.75">
      <c r="A71" s="166"/>
      <c r="B71" s="166" t="s">
        <v>35</v>
      </c>
      <c r="C71" s="161">
        <f t="shared" si="2"/>
        <v>388539667.17931485</v>
      </c>
      <c r="D71" s="161">
        <f t="shared" si="3"/>
        <v>29812722.56316356</v>
      </c>
      <c r="E71" s="161">
        <f t="shared" si="4"/>
        <v>179418384.88012975</v>
      </c>
      <c r="F71" s="299">
        <f t="shared" si="5"/>
        <v>597770774.62260818</v>
      </c>
      <c r="G71" s="91"/>
      <c r="H71" s="206"/>
      <c r="I71" s="206"/>
      <c r="J71" s="206"/>
      <c r="L71" s="206"/>
      <c r="M71" s="206"/>
      <c r="N71" s="206"/>
      <c r="P71" s="206"/>
    </row>
    <row r="72" spans="1:16" ht="15.75">
      <c r="A72" s="166"/>
      <c r="B72" s="45" t="s">
        <v>178</v>
      </c>
      <c r="C72" s="210">
        <f>C71/F71</f>
        <v>0.64998103566473686</v>
      </c>
      <c r="D72" s="210">
        <f>D71/F71</f>
        <v>4.9873168493366517E-2</v>
      </c>
      <c r="E72" s="210">
        <f>E71/F71</f>
        <v>0.3001457958418966</v>
      </c>
      <c r="F72" s="300">
        <f>SUM(C72:E72)</f>
        <v>1</v>
      </c>
      <c r="G72" s="91"/>
    </row>
    <row r="73" spans="1:16" s="127" customFormat="1" ht="15.75">
      <c r="A73" s="162"/>
      <c r="B73" s="163"/>
      <c r="C73" s="164"/>
      <c r="D73" s="164"/>
      <c r="E73" s="164"/>
      <c r="F73" s="301"/>
      <c r="G73" s="165"/>
    </row>
    <row r="74" spans="1:16" ht="17.25" thickBot="1">
      <c r="A74" s="173" t="s">
        <v>199</v>
      </c>
      <c r="B74" s="173"/>
      <c r="C74" s="173"/>
      <c r="D74" s="173"/>
      <c r="E74" s="173"/>
      <c r="F74" s="173"/>
      <c r="G74" s="91"/>
    </row>
    <row r="75" spans="1:16" s="182" customFormat="1" ht="16.5" thickTop="1">
      <c r="A75" s="180" t="s">
        <v>6</v>
      </c>
      <c r="B75" s="180" t="s">
        <v>7</v>
      </c>
      <c r="C75" s="180" t="s">
        <v>158</v>
      </c>
      <c r="D75" s="180" t="s">
        <v>12</v>
      </c>
      <c r="E75" s="180" t="s">
        <v>177</v>
      </c>
      <c r="F75" s="180" t="s">
        <v>212</v>
      </c>
      <c r="G75" s="181"/>
    </row>
    <row r="76" spans="1:16" ht="15.75">
      <c r="A76" s="76">
        <v>31</v>
      </c>
      <c r="B76" s="76" t="s">
        <v>14</v>
      </c>
      <c r="C76" s="78">
        <f>C49/C23</f>
        <v>69.316270101996878</v>
      </c>
      <c r="D76" s="78">
        <f>D49/C23</f>
        <v>8.2587629649813851E-2</v>
      </c>
      <c r="E76" s="78">
        <f>E49/C23</f>
        <v>12.842138437439299</v>
      </c>
      <c r="F76" s="84">
        <f>SUM(C76:E76)</f>
        <v>82.240996169085989</v>
      </c>
      <c r="G76" s="91"/>
    </row>
    <row r="77" spans="1:16" ht="15.75">
      <c r="A77" s="76">
        <v>32</v>
      </c>
      <c r="B77" s="76" t="s">
        <v>41</v>
      </c>
      <c r="C77" s="78">
        <f t="shared" ref="C77:C98" si="6">C50/C24</f>
        <v>69.316270101996878</v>
      </c>
      <c r="D77" s="78">
        <f t="shared" ref="D77:D98" si="7">D50/C24</f>
        <v>7.3888221186962491E-2</v>
      </c>
      <c r="E77" s="78">
        <f t="shared" ref="E77:E98" si="8">E50/C24</f>
        <v>23.648631494033332</v>
      </c>
      <c r="F77" s="84">
        <f t="shared" ref="F77:F98" si="9">SUM(C77:E77)</f>
        <v>93.038789817217179</v>
      </c>
      <c r="G77" s="91"/>
    </row>
    <row r="78" spans="1:16" ht="15.75">
      <c r="A78" s="76">
        <v>33</v>
      </c>
      <c r="B78" s="76" t="s">
        <v>15</v>
      </c>
      <c r="C78" s="78">
        <f t="shared" si="6"/>
        <v>69.316270101996878</v>
      </c>
      <c r="D78" s="78">
        <f t="shared" si="7"/>
        <v>1.2357053355762437</v>
      </c>
      <c r="E78" s="78">
        <f t="shared" si="8"/>
        <v>25.894344176288275</v>
      </c>
      <c r="F78" s="84">
        <f t="shared" si="9"/>
        <v>96.446319613861391</v>
      </c>
      <c r="G78" s="91"/>
    </row>
    <row r="79" spans="1:16" ht="15.75">
      <c r="A79" s="76">
        <v>34</v>
      </c>
      <c r="B79" s="76" t="s">
        <v>16</v>
      </c>
      <c r="C79" s="78">
        <f t="shared" si="6"/>
        <v>69.316270101996878</v>
      </c>
      <c r="D79" s="78">
        <f t="shared" si="7"/>
        <v>4.3678600096154749</v>
      </c>
      <c r="E79" s="78">
        <f t="shared" si="8"/>
        <v>37.110965315839152</v>
      </c>
      <c r="F79" s="84">
        <f t="shared" si="9"/>
        <v>110.7950954274515</v>
      </c>
      <c r="G79" s="91"/>
    </row>
    <row r="80" spans="1:16" ht="15.75">
      <c r="A80" s="76">
        <v>35</v>
      </c>
      <c r="B80" s="76" t="s">
        <v>17</v>
      </c>
      <c r="C80" s="78">
        <f t="shared" si="6"/>
        <v>69.316270101996878</v>
      </c>
      <c r="D80" s="78">
        <f t="shared" si="7"/>
        <v>0.65417662305156221</v>
      </c>
      <c r="E80" s="78">
        <f t="shared" si="8"/>
        <v>31.604139267043827</v>
      </c>
      <c r="F80" s="84">
        <f t="shared" si="9"/>
        <v>101.57458599209227</v>
      </c>
      <c r="G80" s="91"/>
    </row>
    <row r="81" spans="1:7" ht="15.75">
      <c r="A81" s="76">
        <v>2</v>
      </c>
      <c r="B81" s="76" t="s">
        <v>18</v>
      </c>
      <c r="C81" s="78">
        <f t="shared" si="6"/>
        <v>69.316270101996878</v>
      </c>
      <c r="D81" s="78">
        <f t="shared" si="7"/>
        <v>3.2771500792589454</v>
      </c>
      <c r="E81" s="78">
        <f t="shared" si="8"/>
        <v>33.640909191405697</v>
      </c>
      <c r="F81" s="84">
        <f t="shared" si="9"/>
        <v>106.23432937266152</v>
      </c>
      <c r="G81" s="91"/>
    </row>
    <row r="82" spans="1:7" ht="15.75">
      <c r="A82" s="76">
        <v>4</v>
      </c>
      <c r="B82" s="76" t="s">
        <v>19</v>
      </c>
      <c r="C82" s="78">
        <f t="shared" si="6"/>
        <v>69.316270101996878</v>
      </c>
      <c r="D82" s="78">
        <f t="shared" si="7"/>
        <v>4.2954229671843143</v>
      </c>
      <c r="E82" s="78">
        <f t="shared" si="8"/>
        <v>47.817116870389739</v>
      </c>
      <c r="F82" s="84">
        <f t="shared" si="9"/>
        <v>121.42880993957093</v>
      </c>
      <c r="G82" s="91"/>
    </row>
    <row r="83" spans="1:7" ht="15.75">
      <c r="A83" s="76">
        <v>5</v>
      </c>
      <c r="B83" s="76" t="s">
        <v>20</v>
      </c>
      <c r="C83" s="78">
        <f t="shared" si="6"/>
        <v>69.316270101996878</v>
      </c>
      <c r="D83" s="78">
        <f t="shared" si="7"/>
        <v>2.6594635946470597</v>
      </c>
      <c r="E83" s="78">
        <f t="shared" si="8"/>
        <v>34.472448792014021</v>
      </c>
      <c r="F83" s="84">
        <f t="shared" si="9"/>
        <v>106.44818248865796</v>
      </c>
      <c r="G83" s="91"/>
    </row>
    <row r="84" spans="1:7" ht="15.75">
      <c r="A84" s="76">
        <v>6</v>
      </c>
      <c r="B84" s="76" t="s">
        <v>21</v>
      </c>
      <c r="C84" s="78">
        <f t="shared" si="6"/>
        <v>69.316270101996878</v>
      </c>
      <c r="D84" s="78">
        <f t="shared" si="7"/>
        <v>2.251070090019474</v>
      </c>
      <c r="E84" s="78">
        <f t="shared" si="8"/>
        <v>27.541086975551437</v>
      </c>
      <c r="F84" s="84">
        <f t="shared" si="9"/>
        <v>99.108427167567783</v>
      </c>
      <c r="G84" s="91"/>
    </row>
    <row r="85" spans="1:7" ht="15.75">
      <c r="A85" s="76">
        <v>7</v>
      </c>
      <c r="B85" s="76" t="s">
        <v>22</v>
      </c>
      <c r="C85" s="78">
        <f t="shared" si="6"/>
        <v>69.316270101996878</v>
      </c>
      <c r="D85" s="78">
        <f t="shared" si="7"/>
        <v>2.6784059618616838</v>
      </c>
      <c r="E85" s="78">
        <f t="shared" si="8"/>
        <v>34.77042352606977</v>
      </c>
      <c r="F85" s="84">
        <f t="shared" si="9"/>
        <v>106.76509958992833</v>
      </c>
      <c r="G85" s="91"/>
    </row>
    <row r="86" spans="1:7" ht="15.75">
      <c r="A86" s="76">
        <v>8</v>
      </c>
      <c r="B86" s="76" t="s">
        <v>23</v>
      </c>
      <c r="C86" s="78">
        <f t="shared" si="6"/>
        <v>69.316270101996878</v>
      </c>
      <c r="D86" s="78">
        <f t="shared" si="7"/>
        <v>3.3944043908823041</v>
      </c>
      <c r="E86" s="78">
        <f t="shared" si="8"/>
        <v>49.656292007426963</v>
      </c>
      <c r="F86" s="84">
        <f t="shared" si="9"/>
        <v>122.36696650030615</v>
      </c>
      <c r="G86" s="91"/>
    </row>
    <row r="87" spans="1:7" ht="15.75">
      <c r="A87" s="76">
        <v>9</v>
      </c>
      <c r="B87" s="76" t="s">
        <v>24</v>
      </c>
      <c r="C87" s="78">
        <f t="shared" si="6"/>
        <v>69.316270101996878</v>
      </c>
      <c r="D87" s="78">
        <f t="shared" si="7"/>
        <v>4.3379400848706098</v>
      </c>
      <c r="E87" s="78">
        <f t="shared" si="8"/>
        <v>44.594398875624393</v>
      </c>
      <c r="F87" s="84">
        <f t="shared" si="9"/>
        <v>118.24860906249188</v>
      </c>
      <c r="G87" s="91"/>
    </row>
    <row r="88" spans="1:7" ht="15.75">
      <c r="A88" s="76">
        <v>10</v>
      </c>
      <c r="B88" s="76" t="s">
        <v>25</v>
      </c>
      <c r="C88" s="78">
        <f t="shared" si="6"/>
        <v>69.316270101996878</v>
      </c>
      <c r="D88" s="78">
        <f t="shared" si="7"/>
        <v>10.435388072442443</v>
      </c>
      <c r="E88" s="78">
        <f t="shared" si="8"/>
        <v>45.830535404926259</v>
      </c>
      <c r="F88" s="84">
        <f t="shared" si="9"/>
        <v>125.58219357936557</v>
      </c>
      <c r="G88" s="91"/>
    </row>
    <row r="89" spans="1:7" ht="15.75">
      <c r="A89" s="76">
        <v>11</v>
      </c>
      <c r="B89" s="76" t="s">
        <v>26</v>
      </c>
      <c r="C89" s="78">
        <f t="shared" si="6"/>
        <v>69.316270101996878</v>
      </c>
      <c r="D89" s="78">
        <f t="shared" si="7"/>
        <v>6.6887120969680671</v>
      </c>
      <c r="E89" s="78">
        <f t="shared" si="8"/>
        <v>32.656531201787793</v>
      </c>
      <c r="F89" s="84">
        <f t="shared" si="9"/>
        <v>108.66151340075274</v>
      </c>
      <c r="G89" s="91"/>
    </row>
    <row r="90" spans="1:7" ht="15.75">
      <c r="A90" s="76">
        <v>12</v>
      </c>
      <c r="B90" s="76" t="s">
        <v>27</v>
      </c>
      <c r="C90" s="78">
        <f t="shared" si="6"/>
        <v>69.316270101996878</v>
      </c>
      <c r="D90" s="78">
        <f t="shared" si="7"/>
        <v>11.156510219934759</v>
      </c>
      <c r="E90" s="78">
        <f t="shared" si="8"/>
        <v>40.374043704010489</v>
      </c>
      <c r="F90" s="84">
        <f t="shared" si="9"/>
        <v>120.84682402594213</v>
      </c>
      <c r="G90" s="91"/>
    </row>
    <row r="91" spans="1:7" ht="15.75">
      <c r="A91" s="76">
        <v>13</v>
      </c>
      <c r="B91" s="76" t="s">
        <v>28</v>
      </c>
      <c r="C91" s="78">
        <f t="shared" si="6"/>
        <v>69.316270101996878</v>
      </c>
      <c r="D91" s="78">
        <f t="shared" si="7"/>
        <v>5.4763601690172923</v>
      </c>
      <c r="E91" s="78">
        <f t="shared" si="8"/>
        <v>32.847376969789231</v>
      </c>
      <c r="F91" s="84">
        <f t="shared" si="9"/>
        <v>107.64000724080341</v>
      </c>
      <c r="G91" s="91"/>
    </row>
    <row r="92" spans="1:7" ht="15.75">
      <c r="A92" s="76">
        <v>14</v>
      </c>
      <c r="B92" s="76" t="s">
        <v>29</v>
      </c>
      <c r="C92" s="78">
        <f t="shared" si="6"/>
        <v>69.316270101996878</v>
      </c>
      <c r="D92" s="78">
        <f t="shared" si="7"/>
        <v>5.9679199063112129</v>
      </c>
      <c r="E92" s="78">
        <f t="shared" si="8"/>
        <v>43.24393509927306</v>
      </c>
      <c r="F92" s="84">
        <f t="shared" si="9"/>
        <v>118.52812510758115</v>
      </c>
      <c r="G92" s="93"/>
    </row>
    <row r="93" spans="1:7" ht="15.75">
      <c r="A93" s="76">
        <v>15</v>
      </c>
      <c r="B93" s="76" t="s">
        <v>30</v>
      </c>
      <c r="C93" s="78">
        <f t="shared" si="6"/>
        <v>69.316270101996878</v>
      </c>
      <c r="D93" s="78">
        <f t="shared" si="7"/>
        <v>7.8776597548539247</v>
      </c>
      <c r="E93" s="78">
        <f t="shared" si="8"/>
        <v>39.068648275021303</v>
      </c>
      <c r="F93" s="84">
        <f t="shared" si="9"/>
        <v>116.2625781318721</v>
      </c>
      <c r="G93" s="92"/>
    </row>
    <row r="94" spans="1:7" ht="15.75">
      <c r="A94" s="76">
        <v>16</v>
      </c>
      <c r="B94" s="76" t="s">
        <v>31</v>
      </c>
      <c r="C94" s="78">
        <f t="shared" si="6"/>
        <v>69.316270101996878</v>
      </c>
      <c r="D94" s="78">
        <f t="shared" si="7"/>
        <v>7.535240790710926</v>
      </c>
      <c r="E94" s="78">
        <f t="shared" si="8"/>
        <v>38.912572610636069</v>
      </c>
      <c r="F94" s="84">
        <f t="shared" si="9"/>
        <v>115.76408350334387</v>
      </c>
      <c r="G94" s="93"/>
    </row>
    <row r="95" spans="1:7" ht="15.75">
      <c r="A95" s="76">
        <v>17</v>
      </c>
      <c r="B95" s="76" t="s">
        <v>32</v>
      </c>
      <c r="C95" s="78">
        <f t="shared" si="6"/>
        <v>69.316270101996878</v>
      </c>
      <c r="D95" s="78">
        <f t="shared" si="7"/>
        <v>8.6542499330520819</v>
      </c>
      <c r="E95" s="78">
        <f t="shared" si="8"/>
        <v>34.017300263462609</v>
      </c>
      <c r="F95" s="84">
        <f t="shared" si="9"/>
        <v>111.98782029851156</v>
      </c>
      <c r="G95" s="93"/>
    </row>
    <row r="96" spans="1:7" ht="15.75">
      <c r="A96" s="76">
        <v>18</v>
      </c>
      <c r="B96" s="76" t="s">
        <v>33</v>
      </c>
      <c r="C96" s="78">
        <f t="shared" si="6"/>
        <v>69.316270101996878</v>
      </c>
      <c r="D96" s="78">
        <f t="shared" si="7"/>
        <v>25.723655540610331</v>
      </c>
      <c r="E96" s="78">
        <f t="shared" si="8"/>
        <v>45.410350319391839</v>
      </c>
      <c r="F96" s="84">
        <f t="shared" si="9"/>
        <v>140.45027596199907</v>
      </c>
      <c r="G96" s="93"/>
    </row>
    <row r="97" spans="1:7" ht="15.75">
      <c r="A97" s="76">
        <v>19</v>
      </c>
      <c r="B97" s="76" t="s">
        <v>34</v>
      </c>
      <c r="C97" s="78">
        <f t="shared" si="6"/>
        <v>69.316270101996878</v>
      </c>
      <c r="D97" s="78">
        <f t="shared" si="7"/>
        <v>44.987971834659639</v>
      </c>
      <c r="E97" s="78">
        <f t="shared" si="8"/>
        <v>43.135602863400194</v>
      </c>
      <c r="F97" s="84">
        <f t="shared" si="9"/>
        <v>157.43984480005673</v>
      </c>
      <c r="G97" s="92"/>
    </row>
    <row r="98" spans="1:7" ht="15.75">
      <c r="A98" s="76"/>
      <c r="B98" s="76" t="s">
        <v>35</v>
      </c>
      <c r="C98" s="78">
        <f t="shared" si="6"/>
        <v>69.316270101996878</v>
      </c>
      <c r="D98" s="78">
        <f t="shared" si="7"/>
        <v>5.3186505889254008</v>
      </c>
      <c r="E98" s="78">
        <f t="shared" si="8"/>
        <v>32.008606271532862</v>
      </c>
      <c r="F98" s="84">
        <f t="shared" si="9"/>
        <v>106.64352696245516</v>
      </c>
      <c r="G98" s="31"/>
    </row>
    <row r="99" spans="1:7" ht="15.75">
      <c r="A99" s="76"/>
      <c r="B99" s="178" t="s">
        <v>178</v>
      </c>
      <c r="C99" s="211">
        <v>0.64999999999999991</v>
      </c>
      <c r="D99" s="211">
        <v>5.000000000000001E-2</v>
      </c>
      <c r="E99" s="211">
        <v>0.30000000000000004</v>
      </c>
      <c r="F99" s="211">
        <v>1</v>
      </c>
      <c r="G99" s="31"/>
    </row>
    <row r="100" spans="1:7" ht="15.75">
      <c r="A100" s="76"/>
      <c r="B100" s="81"/>
      <c r="C100" s="84"/>
      <c r="D100" s="84"/>
      <c r="E100" s="84"/>
      <c r="F100" s="84"/>
      <c r="G100" s="31"/>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AF5B-F086-4304-9B3A-DCA7614913F2}">
  <sheetPr>
    <tabColor theme="4"/>
  </sheetPr>
  <dimension ref="A1:P55"/>
  <sheetViews>
    <sheetView zoomScale="85" zoomScaleNormal="85" workbookViewId="0"/>
  </sheetViews>
  <sheetFormatPr defaultRowHeight="15"/>
  <cols>
    <col min="1" max="1" width="23.25" style="261" customWidth="1"/>
    <col min="2" max="2" width="21.875" style="261" customWidth="1"/>
    <col min="3" max="3" width="15.375" style="261" customWidth="1"/>
    <col min="4" max="4" width="27.125" style="261" customWidth="1"/>
    <col min="5" max="5" width="25.875" style="261" customWidth="1"/>
    <col min="6" max="6" width="20.5" style="261" customWidth="1"/>
    <col min="7" max="7" width="25.625" style="261" customWidth="1"/>
    <col min="8" max="8" width="21.5" style="261" customWidth="1"/>
    <col min="9" max="9" width="18.375" style="261" customWidth="1"/>
    <col min="10" max="10" width="19.5" style="261" customWidth="1"/>
    <col min="11" max="11" width="14.5" style="261" customWidth="1"/>
    <col min="12" max="12" width="18.375" style="261" customWidth="1"/>
    <col min="13" max="13" width="17.875" style="261" customWidth="1"/>
    <col min="14" max="14" width="25.625" style="261" customWidth="1"/>
    <col min="15" max="15" width="20" style="261" customWidth="1"/>
    <col min="16" max="16" width="19.25" style="261" customWidth="1"/>
  </cols>
  <sheetData>
    <row r="1" spans="1:15" ht="20.25">
      <c r="A1" s="307" t="s">
        <v>249</v>
      </c>
    </row>
    <row r="2" spans="1:15">
      <c r="A2" s="261" t="str">
        <f>INFO!A2</f>
        <v>VM/HVO 18.12.2025</v>
      </c>
    </row>
    <row r="3" spans="1:15" ht="56.1" customHeight="1">
      <c r="A3" s="570" t="s">
        <v>438</v>
      </c>
      <c r="B3" s="570"/>
      <c r="C3" s="570"/>
      <c r="D3" s="570"/>
      <c r="E3" s="570"/>
      <c r="F3" s="570"/>
      <c r="G3" s="570"/>
    </row>
    <row r="4" spans="1:15" ht="15.6" customHeight="1">
      <c r="A4" s="352"/>
    </row>
    <row r="5" spans="1:15" ht="16.5">
      <c r="A5" s="348" t="s">
        <v>379</v>
      </c>
      <c r="B5" s="379"/>
      <c r="C5" s="379"/>
      <c r="D5" s="379"/>
      <c r="E5" s="379"/>
      <c r="F5" s="379"/>
      <c r="G5" s="379"/>
    </row>
    <row r="6" spans="1:15" ht="45.6" customHeight="1">
      <c r="A6" s="387" t="s">
        <v>6</v>
      </c>
      <c r="B6" s="387" t="s">
        <v>7</v>
      </c>
      <c r="C6" s="388" t="s">
        <v>229</v>
      </c>
      <c r="D6" s="389" t="s">
        <v>372</v>
      </c>
      <c r="E6" s="389" t="s">
        <v>373</v>
      </c>
      <c r="F6" s="389" t="s">
        <v>367</v>
      </c>
      <c r="G6" s="389" t="s">
        <v>378</v>
      </c>
    </row>
    <row r="7" spans="1:15" ht="15.75">
      <c r="A7" s="262">
        <v>31</v>
      </c>
      <c r="B7" s="262" t="s">
        <v>14</v>
      </c>
      <c r="C7" s="263">
        <f>Määräytymistekijät!C8</f>
        <v>684018</v>
      </c>
      <c r="D7" s="264">
        <f>N34</f>
        <v>30.065309488989499</v>
      </c>
      <c r="E7" s="264">
        <f>O34</f>
        <v>41.576622135422603</v>
      </c>
      <c r="F7" s="264">
        <f>(D7+E7)/2</f>
        <v>35.820965812206055</v>
      </c>
      <c r="G7" s="380">
        <f t="shared" ref="G7:G28" si="0">F7/$F$30</f>
        <v>0.87706159719596877</v>
      </c>
      <c r="H7" s="306"/>
      <c r="I7" s="390"/>
      <c r="J7" s="390"/>
      <c r="K7" s="390"/>
      <c r="L7" s="390"/>
      <c r="M7" s="390"/>
      <c r="N7" s="390"/>
      <c r="O7" s="390"/>
    </row>
    <row r="8" spans="1:15" ht="15.75">
      <c r="A8" s="262">
        <v>32</v>
      </c>
      <c r="B8" s="262" t="s">
        <v>41</v>
      </c>
      <c r="C8" s="263">
        <f>Määräytymistekijät!C9</f>
        <v>289730</v>
      </c>
      <c r="D8" s="264">
        <f t="shared" ref="D8:E8" si="1">N35</f>
        <v>28.6743907700249</v>
      </c>
      <c r="E8" s="264">
        <f t="shared" si="1"/>
        <v>18.7898739484732</v>
      </c>
      <c r="F8" s="264">
        <f t="shared" ref="F8:F28" si="2">(D8+E8)/2</f>
        <v>23.73213235924905</v>
      </c>
      <c r="G8" s="380">
        <f t="shared" si="0"/>
        <v>0.58107148816117393</v>
      </c>
      <c r="H8" s="306"/>
      <c r="I8" s="390"/>
      <c r="J8" s="390"/>
      <c r="K8" s="317"/>
    </row>
    <row r="9" spans="1:15" ht="15.75">
      <c r="A9" s="262">
        <v>33</v>
      </c>
      <c r="B9" s="262" t="s">
        <v>15</v>
      </c>
      <c r="C9" s="263">
        <f>Määräytymistekijät!C10</f>
        <v>502067</v>
      </c>
      <c r="D9" s="264">
        <f t="shared" ref="D9:E9" si="3">N36</f>
        <v>36.819295163821501</v>
      </c>
      <c r="E9" s="264">
        <f t="shared" si="3"/>
        <v>54.277945171865603</v>
      </c>
      <c r="F9" s="264">
        <f t="shared" si="2"/>
        <v>45.548620167843552</v>
      </c>
      <c r="G9" s="380">
        <f t="shared" si="0"/>
        <v>1.1152392083428613</v>
      </c>
      <c r="H9" s="306"/>
      <c r="I9" s="390"/>
      <c r="J9" s="390"/>
      <c r="K9" s="317"/>
    </row>
    <row r="10" spans="1:15" ht="15.75">
      <c r="A10" s="262">
        <v>34</v>
      </c>
      <c r="B10" s="262" t="s">
        <v>16</v>
      </c>
      <c r="C10" s="263">
        <f>Määräytymistekijät!C11</f>
        <v>99415</v>
      </c>
      <c r="D10" s="264">
        <f t="shared" ref="D10:E10" si="4">N37</f>
        <v>26.590363867100798</v>
      </c>
      <c r="E10" s="264">
        <f t="shared" si="4"/>
        <v>64.496183312198994</v>
      </c>
      <c r="F10" s="264">
        <f t="shared" si="2"/>
        <v>45.5432735896499</v>
      </c>
      <c r="G10" s="380">
        <f t="shared" si="0"/>
        <v>1.1151082995774573</v>
      </c>
      <c r="H10" s="306"/>
      <c r="I10" s="390"/>
      <c r="J10" s="390"/>
      <c r="K10" s="317"/>
    </row>
    <row r="11" spans="1:15" ht="15.75">
      <c r="A11" s="262">
        <v>35</v>
      </c>
      <c r="B11" s="262" t="s">
        <v>17</v>
      </c>
      <c r="C11" s="263">
        <f>Määräytymistekijät!C12</f>
        <v>207070</v>
      </c>
      <c r="D11" s="264">
        <f t="shared" ref="D11:E11" si="5">N38</f>
        <v>16.3164613667313</v>
      </c>
      <c r="E11" s="264">
        <f t="shared" si="5"/>
        <v>33.780169763669001</v>
      </c>
      <c r="F11" s="264">
        <f t="shared" si="2"/>
        <v>25.048315565200149</v>
      </c>
      <c r="G11" s="380">
        <f t="shared" si="0"/>
        <v>0.61329769196779005</v>
      </c>
      <c r="H11" s="306"/>
      <c r="I11" s="390"/>
      <c r="J11" s="390"/>
      <c r="K11" s="317"/>
    </row>
    <row r="12" spans="1:15" ht="15.75">
      <c r="A12" s="262">
        <v>2</v>
      </c>
      <c r="B12" s="265" t="s">
        <v>18</v>
      </c>
      <c r="C12" s="263">
        <f>Määräytymistekijät!C13</f>
        <v>494819</v>
      </c>
      <c r="D12" s="264">
        <f t="shared" ref="D12:E12" si="6">N39</f>
        <v>34.108995722303298</v>
      </c>
      <c r="E12" s="264">
        <f t="shared" si="6"/>
        <v>43.573198410124903</v>
      </c>
      <c r="F12" s="264">
        <f t="shared" si="2"/>
        <v>38.841097066214104</v>
      </c>
      <c r="G12" s="380">
        <f t="shared" si="0"/>
        <v>0.95100826729047439</v>
      </c>
      <c r="H12" s="306"/>
      <c r="I12" s="390"/>
      <c r="J12" s="390"/>
      <c r="K12" s="317"/>
    </row>
    <row r="13" spans="1:15" ht="15.75">
      <c r="A13" s="262">
        <v>4</v>
      </c>
      <c r="B13" s="265" t="s">
        <v>19</v>
      </c>
      <c r="C13" s="263">
        <f>Määräytymistekijät!C14</f>
        <v>211261</v>
      </c>
      <c r="D13" s="264">
        <f t="shared" ref="D13:E13" si="7">N40</f>
        <v>19.827079815745002</v>
      </c>
      <c r="E13" s="264">
        <f t="shared" si="7"/>
        <v>56.073607076384903</v>
      </c>
      <c r="F13" s="264">
        <f t="shared" si="2"/>
        <v>37.950343446064949</v>
      </c>
      <c r="G13" s="380">
        <f t="shared" si="0"/>
        <v>0.92919853170456512</v>
      </c>
      <c r="H13" s="306"/>
      <c r="I13" s="390"/>
      <c r="J13" s="390"/>
      <c r="K13" s="317"/>
    </row>
    <row r="14" spans="1:15" ht="15.75">
      <c r="A14" s="262">
        <v>5</v>
      </c>
      <c r="B14" s="265" t="s">
        <v>20</v>
      </c>
      <c r="C14" s="263">
        <f>Määräytymistekijät!C15</f>
        <v>169455</v>
      </c>
      <c r="D14" s="264">
        <f t="shared" ref="D14:E14" si="8">N41</f>
        <v>43.802496418041599</v>
      </c>
      <c r="E14" s="264">
        <f t="shared" si="8"/>
        <v>48.223401338589397</v>
      </c>
      <c r="F14" s="264">
        <f t="shared" si="2"/>
        <v>46.012948878315498</v>
      </c>
      <c r="G14" s="380">
        <f t="shared" si="0"/>
        <v>1.1266081056128423</v>
      </c>
      <c r="H14" s="306"/>
      <c r="I14" s="390"/>
      <c r="J14" s="390"/>
      <c r="K14" s="317"/>
    </row>
    <row r="15" spans="1:15" ht="15.75">
      <c r="A15" s="262">
        <v>6</v>
      </c>
      <c r="B15" s="265" t="s">
        <v>21</v>
      </c>
      <c r="C15" s="263">
        <f>Määräytymistekijät!C16</f>
        <v>545406</v>
      </c>
      <c r="D15" s="264">
        <f t="shared" ref="D15:E15" si="9">N42</f>
        <v>33.090058751847501</v>
      </c>
      <c r="E15" s="264">
        <f t="shared" si="9"/>
        <v>44.757430011329802</v>
      </c>
      <c r="F15" s="264">
        <f t="shared" si="2"/>
        <v>38.923744381588648</v>
      </c>
      <c r="G15" s="380">
        <f t="shared" si="0"/>
        <v>0.9530318527740812</v>
      </c>
      <c r="H15" s="306"/>
      <c r="I15" s="390"/>
      <c r="J15" s="390"/>
      <c r="K15" s="317"/>
    </row>
    <row r="16" spans="1:15" ht="15.75">
      <c r="A16" s="262">
        <v>7</v>
      </c>
      <c r="B16" s="265" t="s">
        <v>22</v>
      </c>
      <c r="C16" s="263">
        <f>Määräytymistekijät!C17</f>
        <v>204635</v>
      </c>
      <c r="D16" s="264">
        <f t="shared" ref="D16:E16" si="10">N43</f>
        <v>44.516481954224297</v>
      </c>
      <c r="E16" s="264">
        <f t="shared" si="10"/>
        <v>59.470101040503899</v>
      </c>
      <c r="F16" s="264">
        <f t="shared" si="2"/>
        <v>51.993291497364098</v>
      </c>
      <c r="G16" s="380">
        <f t="shared" si="0"/>
        <v>1.2730343319948958</v>
      </c>
      <c r="H16" s="306"/>
      <c r="I16" s="390"/>
      <c r="J16" s="390"/>
      <c r="K16" s="317"/>
    </row>
    <row r="17" spans="1:16" ht="15.75">
      <c r="A17" s="262">
        <v>8</v>
      </c>
      <c r="B17" s="265" t="s">
        <v>23</v>
      </c>
      <c r="C17" s="263">
        <f>Määräytymistekijät!C18</f>
        <v>157442</v>
      </c>
      <c r="D17" s="264">
        <f t="shared" ref="D17:E17" si="11">N44</f>
        <v>38.494283387075598</v>
      </c>
      <c r="E17" s="264">
        <f t="shared" si="11"/>
        <v>29.542859216289401</v>
      </c>
      <c r="F17" s="264">
        <f t="shared" si="2"/>
        <v>34.018571301682499</v>
      </c>
      <c r="G17" s="380">
        <f t="shared" si="0"/>
        <v>0.83293070981385442</v>
      </c>
      <c r="H17" s="306"/>
      <c r="I17" s="390"/>
      <c r="J17" s="390"/>
      <c r="K17" s="317"/>
    </row>
    <row r="18" spans="1:16" ht="15.75">
      <c r="A18" s="262">
        <v>9</v>
      </c>
      <c r="B18" s="265" t="s">
        <v>24</v>
      </c>
      <c r="C18" s="263">
        <f>Määräytymistekijät!C19</f>
        <v>125083</v>
      </c>
      <c r="D18" s="264">
        <f t="shared" ref="D18:E18" si="12">N45</f>
        <v>38.194724732965298</v>
      </c>
      <c r="E18" s="264">
        <f t="shared" si="12"/>
        <v>44.527469324062899</v>
      </c>
      <c r="F18" s="264">
        <f t="shared" si="2"/>
        <v>41.361097028514095</v>
      </c>
      <c r="G18" s="380">
        <f t="shared" si="0"/>
        <v>1.0127094286565781</v>
      </c>
      <c r="H18" s="306"/>
      <c r="I18" s="390"/>
      <c r="J18" s="390"/>
      <c r="K18" s="317"/>
    </row>
    <row r="19" spans="1:16" ht="15.75">
      <c r="A19" s="262">
        <v>10</v>
      </c>
      <c r="B19" s="265" t="s">
        <v>25</v>
      </c>
      <c r="C19" s="263">
        <f>Määräytymistekijät!C20</f>
        <v>129376</v>
      </c>
      <c r="D19" s="264">
        <f t="shared" ref="D19:E19" si="13">N46</f>
        <v>50.753777557863899</v>
      </c>
      <c r="E19" s="264">
        <f t="shared" si="13"/>
        <v>58.3977456459683</v>
      </c>
      <c r="F19" s="264">
        <f t="shared" si="2"/>
        <v>54.575761601916099</v>
      </c>
      <c r="G19" s="380">
        <f t="shared" si="0"/>
        <v>1.3362650490694596</v>
      </c>
      <c r="H19" s="306"/>
      <c r="I19" s="390"/>
      <c r="J19" s="390"/>
      <c r="K19" s="317"/>
    </row>
    <row r="20" spans="1:16" ht="15.75">
      <c r="A20" s="262">
        <v>11</v>
      </c>
      <c r="B20" s="265" t="s">
        <v>26</v>
      </c>
      <c r="C20" s="263">
        <f>Määräytymistekijät!C21</f>
        <v>248815</v>
      </c>
      <c r="D20" s="264">
        <f t="shared" ref="D20:E20" si="14">N47</f>
        <v>26.141216237175701</v>
      </c>
      <c r="E20" s="264">
        <f t="shared" si="14"/>
        <v>82.3583777192095</v>
      </c>
      <c r="F20" s="264">
        <f t="shared" si="2"/>
        <v>54.249796978192599</v>
      </c>
      <c r="G20" s="380">
        <f t="shared" si="0"/>
        <v>1.3282839394865655</v>
      </c>
      <c r="H20" s="306"/>
      <c r="I20" s="390"/>
      <c r="J20" s="390"/>
      <c r="K20" s="317"/>
    </row>
    <row r="21" spans="1:16" ht="15.75">
      <c r="A21" s="262">
        <v>12</v>
      </c>
      <c r="B21" s="265" t="s">
        <v>27</v>
      </c>
      <c r="C21" s="263">
        <f>Määräytymistekijät!C22</f>
        <v>162091</v>
      </c>
      <c r="D21" s="264">
        <f t="shared" ref="D21:E21" si="15">N48</f>
        <v>28.2958731318279</v>
      </c>
      <c r="E21" s="264">
        <f t="shared" si="15"/>
        <v>44.291853226126399</v>
      </c>
      <c r="F21" s="264">
        <f t="shared" si="2"/>
        <v>36.293863178977148</v>
      </c>
      <c r="G21" s="380">
        <f t="shared" si="0"/>
        <v>0.88864029448694726</v>
      </c>
      <c r="H21" s="306"/>
      <c r="I21" s="390"/>
      <c r="J21" s="390"/>
      <c r="K21" s="317"/>
    </row>
    <row r="22" spans="1:16" ht="15.75">
      <c r="A22" s="262">
        <v>13</v>
      </c>
      <c r="B22" s="265" t="s">
        <v>28</v>
      </c>
      <c r="C22" s="263">
        <f>Määräytymistekijät!C23</f>
        <v>274112</v>
      </c>
      <c r="D22" s="264">
        <f t="shared" ref="D22:E22" si="16">N49</f>
        <v>27.637705954950899</v>
      </c>
      <c r="E22" s="264">
        <f t="shared" si="16"/>
        <v>50.338745603364899</v>
      </c>
      <c r="F22" s="264">
        <f t="shared" si="2"/>
        <v>38.988225779157901</v>
      </c>
      <c r="G22" s="380">
        <f t="shared" si="0"/>
        <v>0.95461065324076888</v>
      </c>
      <c r="H22" s="306"/>
      <c r="I22" s="390"/>
      <c r="J22" s="390"/>
      <c r="K22" s="317"/>
    </row>
    <row r="23" spans="1:16" ht="15.75">
      <c r="A23" s="262">
        <v>14</v>
      </c>
      <c r="B23" s="265" t="s">
        <v>29</v>
      </c>
      <c r="C23" s="263">
        <f>Määräytymistekijät!C24</f>
        <v>189929</v>
      </c>
      <c r="D23" s="264">
        <f t="shared" ref="D23:E23" si="17">N50</f>
        <v>84.642042994376396</v>
      </c>
      <c r="E23" s="264">
        <f t="shared" si="17"/>
        <v>56.795943259985002</v>
      </c>
      <c r="F23" s="264">
        <f t="shared" si="2"/>
        <v>70.718993127180696</v>
      </c>
      <c r="G23" s="380">
        <f t="shared" si="0"/>
        <v>1.7315254253440802</v>
      </c>
      <c r="H23" s="306"/>
      <c r="I23" s="390"/>
      <c r="J23" s="390"/>
      <c r="K23" s="317"/>
    </row>
    <row r="24" spans="1:16" ht="15.75">
      <c r="A24" s="262">
        <v>15</v>
      </c>
      <c r="B24" s="265" t="s">
        <v>30</v>
      </c>
      <c r="C24" s="263">
        <f>Määräytymistekijät!C25</f>
        <v>178749</v>
      </c>
      <c r="D24" s="264">
        <f t="shared" ref="D24:E24" si="18">N51</f>
        <v>12.959588411011699</v>
      </c>
      <c r="E24" s="264">
        <f t="shared" si="18"/>
        <v>70.199155990550196</v>
      </c>
      <c r="F24" s="264">
        <f t="shared" si="2"/>
        <v>41.579372200780945</v>
      </c>
      <c r="G24" s="380">
        <f t="shared" si="0"/>
        <v>1.0180538063659963</v>
      </c>
      <c r="H24" s="306"/>
      <c r="I24" s="390"/>
      <c r="J24" s="390"/>
      <c r="K24" s="317"/>
    </row>
    <row r="25" spans="1:16" ht="15.75">
      <c r="A25" s="262">
        <v>16</v>
      </c>
      <c r="B25" s="265" t="s">
        <v>31</v>
      </c>
      <c r="C25" s="263">
        <f>Määräytymistekijät!C26</f>
        <v>67723</v>
      </c>
      <c r="D25" s="264">
        <f t="shared" ref="D25:E25" si="19">N52</f>
        <v>17.492404187838599</v>
      </c>
      <c r="E25" s="264">
        <f t="shared" si="19"/>
        <v>42.846841842422599</v>
      </c>
      <c r="F25" s="264">
        <f t="shared" si="2"/>
        <v>30.169623015130597</v>
      </c>
      <c r="G25" s="380">
        <f t="shared" si="0"/>
        <v>0.73869079597608733</v>
      </c>
      <c r="H25" s="306"/>
      <c r="I25" s="390"/>
      <c r="J25" s="390"/>
      <c r="K25" s="317"/>
    </row>
    <row r="26" spans="1:16" ht="15.75">
      <c r="A26" s="262">
        <v>17</v>
      </c>
      <c r="B26" s="265" t="s">
        <v>32</v>
      </c>
      <c r="C26" s="263">
        <f>Määräytymistekijät!C27</f>
        <v>418331</v>
      </c>
      <c r="D26" s="264">
        <f t="shared" ref="D26:E26" si="20">N53</f>
        <v>15.775811827259099</v>
      </c>
      <c r="E26" s="264">
        <f t="shared" si="20"/>
        <v>59.144638078804398</v>
      </c>
      <c r="F26" s="264">
        <f t="shared" si="2"/>
        <v>37.460224953031748</v>
      </c>
      <c r="G26" s="380">
        <f t="shared" si="0"/>
        <v>0.91719818222854665</v>
      </c>
      <c r="H26" s="306"/>
      <c r="I26" s="390"/>
      <c r="J26" s="390"/>
      <c r="K26" s="317"/>
    </row>
    <row r="27" spans="1:16" ht="15.75">
      <c r="A27" s="262">
        <v>18</v>
      </c>
      <c r="B27" s="265" t="s">
        <v>33</v>
      </c>
      <c r="C27" s="263">
        <f>Määräytymistekijät!C28</f>
        <v>69639</v>
      </c>
      <c r="D27" s="264">
        <f t="shared" ref="D27:E27" si="21">N54</f>
        <v>35.009198260667297</v>
      </c>
      <c r="E27" s="264">
        <f t="shared" si="21"/>
        <v>62.156871805876897</v>
      </c>
      <c r="F27" s="264">
        <f t="shared" si="2"/>
        <v>48.583035033272097</v>
      </c>
      <c r="G27" s="380">
        <f t="shared" si="0"/>
        <v>1.1895356067811493</v>
      </c>
      <c r="H27" s="306"/>
      <c r="I27" s="390"/>
      <c r="J27" s="390"/>
      <c r="K27" s="317"/>
    </row>
    <row r="28" spans="1:16" ht="15.75">
      <c r="A28" s="262">
        <v>19</v>
      </c>
      <c r="B28" s="265" t="s">
        <v>34</v>
      </c>
      <c r="C28" s="263">
        <f>Määräytymistekijät!C29</f>
        <v>176151</v>
      </c>
      <c r="D28" s="264">
        <f t="shared" ref="D28:E28" si="22">N55</f>
        <v>15.7363855994265</v>
      </c>
      <c r="E28" s="264">
        <f t="shared" si="22"/>
        <v>80.193787463218996</v>
      </c>
      <c r="F28" s="264">
        <f t="shared" si="2"/>
        <v>47.965086531322747</v>
      </c>
      <c r="G28" s="380">
        <f t="shared" si="0"/>
        <v>1.1744053921759396</v>
      </c>
      <c r="H28" s="306"/>
      <c r="I28" s="390"/>
      <c r="J28" s="390"/>
      <c r="K28" s="317"/>
    </row>
    <row r="29" spans="1:16" ht="15.75">
      <c r="A29" s="265"/>
      <c r="B29" s="266" t="s">
        <v>223</v>
      </c>
      <c r="C29" s="267">
        <f>SUM(C7:C28)</f>
        <v>5605317</v>
      </c>
      <c r="D29" s="267"/>
      <c r="E29" s="385" t="s">
        <v>380</v>
      </c>
      <c r="F29" s="386">
        <f>AVERAGE(F7:F28)</f>
        <v>42.062653795129798</v>
      </c>
      <c r="G29" s="380">
        <f>F43/$F$43</f>
        <v>1</v>
      </c>
      <c r="H29" s="308"/>
    </row>
    <row r="30" spans="1:16" ht="15.75">
      <c r="A30" s="382"/>
      <c r="B30" s="383"/>
      <c r="C30" s="384"/>
      <c r="D30" s="381"/>
      <c r="E30" s="385" t="s">
        <v>381</v>
      </c>
      <c r="F30" s="385">
        <f>SUMPRODUCT(F7:F28,C7:C28)/C29</f>
        <v>40.842018310604807</v>
      </c>
      <c r="G30" s="385"/>
      <c r="H30" s="308"/>
    </row>
    <row r="31" spans="1:16" s="127" customFormat="1" ht="15.75">
      <c r="A31" s="259"/>
      <c r="B31" s="259"/>
      <c r="C31" s="318"/>
      <c r="D31" s="318"/>
      <c r="E31" s="319"/>
      <c r="F31" s="319"/>
      <c r="G31" s="319"/>
      <c r="H31" s="319"/>
      <c r="I31" s="319"/>
      <c r="J31" s="319"/>
      <c r="K31" s="319"/>
      <c r="L31" s="319"/>
      <c r="M31" s="319"/>
      <c r="N31" s="319"/>
      <c r="O31" s="319"/>
      <c r="P31" s="319"/>
    </row>
    <row r="32" spans="1:16" ht="17.25" thickBot="1">
      <c r="A32" s="343" t="s">
        <v>430</v>
      </c>
      <c r="B32" s="343"/>
      <c r="C32" s="343"/>
      <c r="D32" s="343"/>
      <c r="E32" s="343"/>
      <c r="F32" s="343"/>
      <c r="G32" s="343"/>
      <c r="H32" s="343"/>
      <c r="I32" s="343"/>
      <c r="J32" s="343"/>
      <c r="K32" s="343"/>
      <c r="L32" s="343"/>
      <c r="M32" s="343"/>
      <c r="N32" s="343"/>
      <c r="O32" s="343"/>
      <c r="P32" s="343"/>
    </row>
    <row r="33" spans="1:16" ht="32.25" thickTop="1">
      <c r="A33" s="268" t="s">
        <v>6</v>
      </c>
      <c r="B33" s="268" t="s">
        <v>7</v>
      </c>
      <c r="C33" s="358" t="s">
        <v>368</v>
      </c>
      <c r="D33" s="359" t="s">
        <v>369</v>
      </c>
      <c r="E33" s="359" t="s">
        <v>48</v>
      </c>
      <c r="F33" s="359" t="s">
        <v>370</v>
      </c>
      <c r="G33" s="359" t="s">
        <v>224</v>
      </c>
      <c r="H33" s="362" t="s">
        <v>371</v>
      </c>
      <c r="I33" s="363" t="s">
        <v>84</v>
      </c>
      <c r="J33" s="364" t="s">
        <v>225</v>
      </c>
      <c r="K33" s="364" t="s">
        <v>226</v>
      </c>
      <c r="L33" s="364" t="s">
        <v>227</v>
      </c>
      <c r="M33" s="365" t="s">
        <v>228</v>
      </c>
      <c r="N33" s="366" t="s">
        <v>372</v>
      </c>
      <c r="O33" s="367" t="s">
        <v>373</v>
      </c>
      <c r="P33" s="377" t="s">
        <v>374</v>
      </c>
    </row>
    <row r="34" spans="1:16">
      <c r="A34" s="262">
        <v>31</v>
      </c>
      <c r="B34" s="262" t="s">
        <v>14</v>
      </c>
      <c r="C34" s="354">
        <v>57.2176938843605</v>
      </c>
      <c r="D34" s="269">
        <v>8.2101643026827205</v>
      </c>
      <c r="E34" s="269">
        <v>61.5581751951431</v>
      </c>
      <c r="F34" s="269">
        <v>4.6334943629585696</v>
      </c>
      <c r="G34" s="269">
        <v>48.7723291887919</v>
      </c>
      <c r="H34" s="355">
        <v>0</v>
      </c>
      <c r="I34" s="354">
        <v>42.774654102112102</v>
      </c>
      <c r="J34" s="269">
        <v>37.949979097761698</v>
      </c>
      <c r="K34" s="269">
        <v>35.404938995467496</v>
      </c>
      <c r="L34" s="269">
        <v>32.388097554033202</v>
      </c>
      <c r="M34" s="355">
        <v>59.365440927738497</v>
      </c>
      <c r="N34" s="360">
        <v>30.065309488989499</v>
      </c>
      <c r="O34" s="360">
        <v>41.576622135422603</v>
      </c>
      <c r="P34" s="378">
        <v>35.820965812205998</v>
      </c>
    </row>
    <row r="35" spans="1:16">
      <c r="A35" s="262">
        <v>32</v>
      </c>
      <c r="B35" s="262" t="s">
        <v>41</v>
      </c>
      <c r="C35" s="354">
        <v>20.379326695116202</v>
      </c>
      <c r="D35" s="269">
        <v>0.221837870356445</v>
      </c>
      <c r="E35" s="269">
        <v>53.776033665345601</v>
      </c>
      <c r="F35" s="269">
        <v>25.015253203172701</v>
      </c>
      <c r="G35" s="269">
        <v>47.775150293926799</v>
      </c>
      <c r="H35" s="355">
        <v>24.8787428922316</v>
      </c>
      <c r="I35" s="354">
        <v>23.976713915280399</v>
      </c>
      <c r="J35" s="269">
        <v>59.365042852574</v>
      </c>
      <c r="K35" s="269">
        <v>2.3862189689183602</v>
      </c>
      <c r="L35" s="269">
        <v>8.2213940055931296</v>
      </c>
      <c r="M35" s="355">
        <v>0</v>
      </c>
      <c r="N35" s="360">
        <v>28.6743907700249</v>
      </c>
      <c r="O35" s="360">
        <v>18.7898739484732</v>
      </c>
      <c r="P35" s="354">
        <v>23.732132359249</v>
      </c>
    </row>
    <row r="36" spans="1:16">
      <c r="A36" s="262">
        <v>33</v>
      </c>
      <c r="B36" s="262" t="s">
        <v>15</v>
      </c>
      <c r="C36" s="354">
        <v>6.9164018862208003</v>
      </c>
      <c r="D36" s="269">
        <v>1.09350384579742</v>
      </c>
      <c r="E36" s="269">
        <v>92.595987687360306</v>
      </c>
      <c r="F36" s="269">
        <v>58.909431861770898</v>
      </c>
      <c r="G36" s="269">
        <v>53.7236738485731</v>
      </c>
      <c r="H36" s="355">
        <v>7.6767718532067102</v>
      </c>
      <c r="I36" s="354">
        <v>68.825237823369804</v>
      </c>
      <c r="J36" s="269">
        <v>53.493322214237303</v>
      </c>
      <c r="K36" s="269">
        <v>42.144589425613198</v>
      </c>
      <c r="L36" s="269">
        <v>26.3968241490617</v>
      </c>
      <c r="M36" s="355">
        <v>80.529752247046005</v>
      </c>
      <c r="N36" s="360">
        <v>36.819295163821501</v>
      </c>
      <c r="O36" s="360">
        <v>54.277945171865603</v>
      </c>
      <c r="P36" s="354">
        <v>45.548620167843602</v>
      </c>
    </row>
    <row r="37" spans="1:16">
      <c r="A37" s="262">
        <v>34</v>
      </c>
      <c r="B37" s="262" t="s">
        <v>16</v>
      </c>
      <c r="C37" s="354">
        <v>19.3962793962794</v>
      </c>
      <c r="D37" s="269">
        <v>2.31565520286513</v>
      </c>
      <c r="E37" s="269">
        <v>54.3077472499441</v>
      </c>
      <c r="F37" s="269">
        <v>22.833290870203601</v>
      </c>
      <c r="G37" s="269">
        <v>31.5213030570483</v>
      </c>
      <c r="H37" s="355">
        <v>29.167907426264399</v>
      </c>
      <c r="I37" s="354">
        <v>75.806176771162995</v>
      </c>
      <c r="J37" s="269">
        <v>87.323554284025704</v>
      </c>
      <c r="K37" s="269">
        <v>0</v>
      </c>
      <c r="L37" s="269">
        <v>59.3511855058061</v>
      </c>
      <c r="M37" s="355">
        <v>100</v>
      </c>
      <c r="N37" s="360">
        <v>26.590363867100798</v>
      </c>
      <c r="O37" s="360">
        <v>64.496183312198994</v>
      </c>
      <c r="P37" s="354">
        <v>45.5432735896499</v>
      </c>
    </row>
    <row r="38" spans="1:16">
      <c r="A38" s="262">
        <v>35</v>
      </c>
      <c r="B38" s="262" t="s">
        <v>17</v>
      </c>
      <c r="C38" s="354">
        <v>1.7431296843061499</v>
      </c>
      <c r="D38" s="269">
        <v>0</v>
      </c>
      <c r="E38" s="269">
        <v>21.9734213692191</v>
      </c>
      <c r="F38" s="269">
        <v>19.662590606672801</v>
      </c>
      <c r="G38" s="269">
        <v>45.9385587791473</v>
      </c>
      <c r="H38" s="355">
        <v>8.5810677610421795</v>
      </c>
      <c r="I38" s="354">
        <v>63.560992597868299</v>
      </c>
      <c r="J38" s="269">
        <v>29.637855809078602</v>
      </c>
      <c r="K38" s="269">
        <v>7.68198200687549</v>
      </c>
      <c r="L38" s="269">
        <v>37.401638278879602</v>
      </c>
      <c r="M38" s="355">
        <v>30.618380125642901</v>
      </c>
      <c r="N38" s="360">
        <v>16.3164613667313</v>
      </c>
      <c r="O38" s="360">
        <v>33.780169763669001</v>
      </c>
      <c r="P38" s="354">
        <v>25.048315565200099</v>
      </c>
    </row>
    <row r="39" spans="1:16">
      <c r="A39" s="262">
        <v>2</v>
      </c>
      <c r="B39" s="262" t="s">
        <v>18</v>
      </c>
      <c r="C39" s="354">
        <v>1.5196515196515199</v>
      </c>
      <c r="D39" s="269">
        <v>0.43418535053721202</v>
      </c>
      <c r="E39" s="269">
        <v>39.438378573329999</v>
      </c>
      <c r="F39" s="269">
        <v>85.944602225646193</v>
      </c>
      <c r="G39" s="269">
        <v>62.593157123658798</v>
      </c>
      <c r="H39" s="355">
        <v>14.7239995409962</v>
      </c>
      <c r="I39" s="354">
        <v>76.307355177777595</v>
      </c>
      <c r="J39" s="269">
        <v>28.784337495313402</v>
      </c>
      <c r="K39" s="269">
        <v>57.3724112220658</v>
      </c>
      <c r="L39" s="269">
        <v>26.669661292222202</v>
      </c>
      <c r="M39" s="355">
        <v>28.732226863245501</v>
      </c>
      <c r="N39" s="360">
        <v>34.108995722303298</v>
      </c>
      <c r="O39" s="360">
        <v>43.573198410124903</v>
      </c>
      <c r="P39" s="354">
        <v>38.841097066214097</v>
      </c>
    </row>
    <row r="40" spans="1:16">
      <c r="A40" s="262">
        <v>4</v>
      </c>
      <c r="B40" s="262" t="s">
        <v>19</v>
      </c>
      <c r="C40" s="354">
        <v>1.5196515196515199</v>
      </c>
      <c r="D40" s="269">
        <v>0</v>
      </c>
      <c r="E40" s="269">
        <v>21.054612091878099</v>
      </c>
      <c r="F40" s="269">
        <v>8.1464146944542595</v>
      </c>
      <c r="G40" s="269">
        <v>66.833415543295601</v>
      </c>
      <c r="H40" s="355">
        <v>21.4083850451904</v>
      </c>
      <c r="I40" s="354">
        <v>51.619690740602103</v>
      </c>
      <c r="J40" s="269">
        <v>57.725638101757497</v>
      </c>
      <c r="K40" s="269">
        <v>41.389871157776902</v>
      </c>
      <c r="L40" s="269">
        <v>63.695124456889303</v>
      </c>
      <c r="M40" s="355">
        <v>65.937710924898695</v>
      </c>
      <c r="N40" s="360">
        <v>19.827079815745002</v>
      </c>
      <c r="O40" s="360">
        <v>56.073607076384903</v>
      </c>
      <c r="P40" s="354">
        <v>37.950343446064899</v>
      </c>
    </row>
    <row r="41" spans="1:16">
      <c r="A41" s="262">
        <v>5</v>
      </c>
      <c r="B41" s="262" t="s">
        <v>20</v>
      </c>
      <c r="C41" s="354">
        <v>37.535392535392504</v>
      </c>
      <c r="D41" s="269">
        <v>0</v>
      </c>
      <c r="E41" s="269">
        <v>94.681729884852899</v>
      </c>
      <c r="F41" s="269">
        <v>90.564931256923202</v>
      </c>
      <c r="G41" s="269">
        <v>0</v>
      </c>
      <c r="H41" s="355">
        <v>40.032924831080997</v>
      </c>
      <c r="I41" s="354">
        <v>41.576416245995802</v>
      </c>
      <c r="J41" s="269">
        <v>41.849031568136098</v>
      </c>
      <c r="K41" s="269">
        <v>22.3395842272995</v>
      </c>
      <c r="L41" s="269">
        <v>61.9919742620121</v>
      </c>
      <c r="M41" s="355">
        <v>73.360000389503597</v>
      </c>
      <c r="N41" s="360">
        <v>43.802496418041599</v>
      </c>
      <c r="O41" s="360">
        <v>48.223401338589397</v>
      </c>
      <c r="P41" s="354">
        <v>46.012948878315498</v>
      </c>
    </row>
    <row r="42" spans="1:16">
      <c r="A42" s="262">
        <v>6</v>
      </c>
      <c r="B42" s="262" t="s">
        <v>21</v>
      </c>
      <c r="C42" s="354">
        <v>11.0160612019348</v>
      </c>
      <c r="D42" s="269">
        <v>1.11893416779271</v>
      </c>
      <c r="E42" s="269">
        <v>76.827947172578504</v>
      </c>
      <c r="F42" s="269">
        <v>0.92183998214014595</v>
      </c>
      <c r="G42" s="269">
        <v>80.720413033624297</v>
      </c>
      <c r="H42" s="355">
        <v>27.935156953014399</v>
      </c>
      <c r="I42" s="354">
        <v>52.108200782788401</v>
      </c>
      <c r="J42" s="269">
        <v>48.469169363109302</v>
      </c>
      <c r="K42" s="269">
        <v>12.5411890860653</v>
      </c>
      <c r="L42" s="269">
        <v>42.295913501741701</v>
      </c>
      <c r="M42" s="355">
        <v>68.372677322944298</v>
      </c>
      <c r="N42" s="360">
        <v>33.090058751847501</v>
      </c>
      <c r="O42" s="360">
        <v>44.757430011329802</v>
      </c>
      <c r="P42" s="354">
        <v>38.923744381588598</v>
      </c>
    </row>
    <row r="43" spans="1:16">
      <c r="A43" s="262">
        <v>7</v>
      </c>
      <c r="B43" s="262" t="s">
        <v>22</v>
      </c>
      <c r="C43" s="354">
        <v>37.9765340930389</v>
      </c>
      <c r="D43" s="269">
        <v>8.0563260081075292</v>
      </c>
      <c r="E43" s="269">
        <v>50.463215603851602</v>
      </c>
      <c r="F43" s="269">
        <v>73.167659264754306</v>
      </c>
      <c r="G43" s="269">
        <v>44.537173545143098</v>
      </c>
      <c r="H43" s="355">
        <v>52.897983210450597</v>
      </c>
      <c r="I43" s="354">
        <v>49.456884860220804</v>
      </c>
      <c r="J43" s="269">
        <v>41.637219885266497</v>
      </c>
      <c r="K43" s="269">
        <v>70.1959173244271</v>
      </c>
      <c r="L43" s="269">
        <v>58.297048239948602</v>
      </c>
      <c r="M43" s="355">
        <v>77.763434892656704</v>
      </c>
      <c r="N43" s="360">
        <v>44.516481954224297</v>
      </c>
      <c r="O43" s="360">
        <v>59.470101040503899</v>
      </c>
      <c r="P43" s="354">
        <v>51.993291497364098</v>
      </c>
    </row>
    <row r="44" spans="1:16">
      <c r="A44" s="262">
        <v>8</v>
      </c>
      <c r="B44" s="262" t="s">
        <v>23</v>
      </c>
      <c r="C44" s="354">
        <v>50.574002574002598</v>
      </c>
      <c r="D44" s="269">
        <v>14.434250764526</v>
      </c>
      <c r="E44" s="269">
        <v>46.544700249183499</v>
      </c>
      <c r="F44" s="269">
        <v>48.334557036638699</v>
      </c>
      <c r="G44" s="269">
        <v>51.561230513844301</v>
      </c>
      <c r="H44" s="355">
        <v>19.516959184258599</v>
      </c>
      <c r="I44" s="354">
        <v>0</v>
      </c>
      <c r="J44" s="269">
        <v>0</v>
      </c>
      <c r="K44" s="269">
        <v>40.3335186952188</v>
      </c>
      <c r="L44" s="269">
        <v>42.699245828816601</v>
      </c>
      <c r="M44" s="355">
        <v>64.681531557411901</v>
      </c>
      <c r="N44" s="360">
        <v>38.494283387075598</v>
      </c>
      <c r="O44" s="360">
        <v>29.542859216289401</v>
      </c>
      <c r="P44" s="354">
        <v>34.018571301682499</v>
      </c>
    </row>
    <row r="45" spans="1:16">
      <c r="A45" s="262">
        <v>9</v>
      </c>
      <c r="B45" s="262" t="s">
        <v>24</v>
      </c>
      <c r="C45" s="354">
        <v>18.965250965250998</v>
      </c>
      <c r="D45" s="269">
        <v>1.56894030049196</v>
      </c>
      <c r="E45" s="269">
        <v>6.8254846346780402</v>
      </c>
      <c r="F45" s="269">
        <v>100</v>
      </c>
      <c r="G45" s="269">
        <v>68.915418209327299</v>
      </c>
      <c r="H45" s="355">
        <v>32.893254288043799</v>
      </c>
      <c r="I45" s="354">
        <v>38.031537092634203</v>
      </c>
      <c r="J45" s="269">
        <v>40.241401762284497</v>
      </c>
      <c r="K45" s="269">
        <v>28.2086878561012</v>
      </c>
      <c r="L45" s="269">
        <v>56.773957828300702</v>
      </c>
      <c r="M45" s="355">
        <v>59.381762080993902</v>
      </c>
      <c r="N45" s="360">
        <v>38.194724732965298</v>
      </c>
      <c r="O45" s="360">
        <v>44.527469324062899</v>
      </c>
      <c r="P45" s="354">
        <v>41.361097028514102</v>
      </c>
    </row>
    <row r="46" spans="1:16">
      <c r="A46" s="262">
        <v>10</v>
      </c>
      <c r="B46" s="262" t="s">
        <v>25</v>
      </c>
      <c r="C46" s="354">
        <v>10.1599558742416</v>
      </c>
      <c r="D46" s="269">
        <v>10.2559150169</v>
      </c>
      <c r="E46" s="269">
        <v>43.924152597749803</v>
      </c>
      <c r="F46" s="269">
        <v>57.2429334247783</v>
      </c>
      <c r="G46" s="269">
        <v>82.9397084335139</v>
      </c>
      <c r="H46" s="355">
        <v>100</v>
      </c>
      <c r="I46" s="354">
        <v>56.815387683387797</v>
      </c>
      <c r="J46" s="269">
        <v>46.297943477435602</v>
      </c>
      <c r="K46" s="269">
        <v>32.144715502404601</v>
      </c>
      <c r="L46" s="269">
        <v>73.1571601260585</v>
      </c>
      <c r="M46" s="355">
        <v>83.573521440555098</v>
      </c>
      <c r="N46" s="360">
        <v>50.753777557863899</v>
      </c>
      <c r="O46" s="360">
        <v>58.3977456459683</v>
      </c>
      <c r="P46" s="354">
        <v>54.575761601916099</v>
      </c>
    </row>
    <row r="47" spans="1:16">
      <c r="A47" s="262">
        <v>11</v>
      </c>
      <c r="B47" s="262" t="s">
        <v>26</v>
      </c>
      <c r="C47" s="354">
        <v>0</v>
      </c>
      <c r="D47" s="269">
        <v>0</v>
      </c>
      <c r="E47" s="269">
        <v>7.5735516780102001</v>
      </c>
      <c r="F47" s="269">
        <v>24.197468602865399</v>
      </c>
      <c r="G47" s="269">
        <v>100</v>
      </c>
      <c r="H47" s="355">
        <v>25.0762771421788</v>
      </c>
      <c r="I47" s="354">
        <v>100</v>
      </c>
      <c r="J47" s="269">
        <v>82.685238252189606</v>
      </c>
      <c r="K47" s="269">
        <v>65.998296973776604</v>
      </c>
      <c r="L47" s="269">
        <v>86.539698856150693</v>
      </c>
      <c r="M47" s="355">
        <v>76.568654513930895</v>
      </c>
      <c r="N47" s="360">
        <v>26.141216237175701</v>
      </c>
      <c r="O47" s="360">
        <v>82.3583777192095</v>
      </c>
      <c r="P47" s="354">
        <v>54.249796978192599</v>
      </c>
    </row>
    <row r="48" spans="1:16">
      <c r="A48" s="262">
        <v>12</v>
      </c>
      <c r="B48" s="262" t="s">
        <v>27</v>
      </c>
      <c r="C48" s="354">
        <v>6.3499724214009898</v>
      </c>
      <c r="D48" s="269">
        <v>3.0071355759429199</v>
      </c>
      <c r="E48" s="269">
        <v>21.7198900046448</v>
      </c>
      <c r="F48" s="269">
        <v>10.067114093959701</v>
      </c>
      <c r="G48" s="269">
        <v>84.4537585366907</v>
      </c>
      <c r="H48" s="355">
        <v>44.177368158328299</v>
      </c>
      <c r="I48" s="354">
        <v>47.359480443080699</v>
      </c>
      <c r="J48" s="269">
        <v>13.3046282494096</v>
      </c>
      <c r="K48" s="269">
        <v>39.455584368290602</v>
      </c>
      <c r="L48" s="269">
        <v>61.935441992006297</v>
      </c>
      <c r="M48" s="355">
        <v>59.404131077844703</v>
      </c>
      <c r="N48" s="360">
        <v>28.2958731318279</v>
      </c>
      <c r="O48" s="360">
        <v>44.291853226126399</v>
      </c>
      <c r="P48" s="354">
        <v>36.293863178977098</v>
      </c>
    </row>
    <row r="49" spans="1:16">
      <c r="A49" s="262">
        <v>13</v>
      </c>
      <c r="B49" s="262" t="s">
        <v>28</v>
      </c>
      <c r="C49" s="354">
        <v>13.3558105389091</v>
      </c>
      <c r="D49" s="269">
        <v>0</v>
      </c>
      <c r="E49" s="269">
        <v>47.286638140445497</v>
      </c>
      <c r="F49" s="269">
        <v>25.856102050338102</v>
      </c>
      <c r="G49" s="269">
        <v>54.297137437262101</v>
      </c>
      <c r="H49" s="355">
        <v>25.030547562750598</v>
      </c>
      <c r="I49" s="354">
        <v>44.7830571643835</v>
      </c>
      <c r="J49" s="269">
        <v>42.970955190004702</v>
      </c>
      <c r="K49" s="269">
        <v>19.611547748562099</v>
      </c>
      <c r="L49" s="269">
        <v>100</v>
      </c>
      <c r="M49" s="355">
        <v>44.328167913874601</v>
      </c>
      <c r="N49" s="360">
        <v>27.637705954950899</v>
      </c>
      <c r="O49" s="360">
        <v>50.338745603364899</v>
      </c>
      <c r="P49" s="354">
        <v>38.988225779157901</v>
      </c>
    </row>
    <row r="50" spans="1:16">
      <c r="A50" s="262">
        <v>14</v>
      </c>
      <c r="B50" s="262" t="s">
        <v>29</v>
      </c>
      <c r="C50" s="354">
        <v>100</v>
      </c>
      <c r="D50" s="269">
        <v>100</v>
      </c>
      <c r="E50" s="269">
        <v>100</v>
      </c>
      <c r="F50" s="269">
        <v>73.661389097630703</v>
      </c>
      <c r="G50" s="269">
        <v>67.835929486413804</v>
      </c>
      <c r="H50" s="355">
        <v>66.3549393822139</v>
      </c>
      <c r="I50" s="354">
        <v>57.681493634123001</v>
      </c>
      <c r="J50" s="269">
        <v>69.3557120747612</v>
      </c>
      <c r="K50" s="269">
        <v>58.829139033124903</v>
      </c>
      <c r="L50" s="269">
        <v>24.948964295001499</v>
      </c>
      <c r="M50" s="355">
        <v>73.164407262914494</v>
      </c>
      <c r="N50" s="360">
        <v>84.642042994376396</v>
      </c>
      <c r="O50" s="360">
        <v>56.795943259985002</v>
      </c>
      <c r="P50" s="354">
        <v>70.718993127180696</v>
      </c>
    </row>
    <row r="51" spans="1:16">
      <c r="A51" s="262">
        <v>15</v>
      </c>
      <c r="B51" s="262" t="s">
        <v>30</v>
      </c>
      <c r="C51" s="354">
        <v>0.51312908455765605</v>
      </c>
      <c r="D51" s="269">
        <v>0</v>
      </c>
      <c r="E51" s="269">
        <v>0</v>
      </c>
      <c r="F51" s="269">
        <v>0</v>
      </c>
      <c r="G51" s="269">
        <v>43.421230425120299</v>
      </c>
      <c r="H51" s="355">
        <v>33.823170956392197</v>
      </c>
      <c r="I51" s="354">
        <v>65.479953603135996</v>
      </c>
      <c r="J51" s="269">
        <v>94.670627256641495</v>
      </c>
      <c r="K51" s="269">
        <v>47.3474726265393</v>
      </c>
      <c r="L51" s="269">
        <v>84.887852003609396</v>
      </c>
      <c r="M51" s="355">
        <v>58.609874462824898</v>
      </c>
      <c r="N51" s="360">
        <v>12.959588411011699</v>
      </c>
      <c r="O51" s="360">
        <v>70.199155990550196</v>
      </c>
      <c r="P51" s="354">
        <v>41.579372200780902</v>
      </c>
    </row>
    <row r="52" spans="1:16">
      <c r="A52" s="262">
        <v>16</v>
      </c>
      <c r="B52" s="262" t="s">
        <v>31</v>
      </c>
      <c r="C52" s="354">
        <v>0</v>
      </c>
      <c r="D52" s="269">
        <v>0</v>
      </c>
      <c r="E52" s="269">
        <v>10.112060102353199</v>
      </c>
      <c r="F52" s="269">
        <v>30.700538022075499</v>
      </c>
      <c r="G52" s="269">
        <v>27.603064293609801</v>
      </c>
      <c r="H52" s="355">
        <v>36.538762708993097</v>
      </c>
      <c r="I52" s="354">
        <v>68.495424823450307</v>
      </c>
      <c r="J52" s="269">
        <v>4.4574799059357204</v>
      </c>
      <c r="K52" s="269">
        <v>50.182423360773399</v>
      </c>
      <c r="L52" s="269">
        <v>0</v>
      </c>
      <c r="M52" s="355">
        <v>91.098881121953696</v>
      </c>
      <c r="N52" s="360">
        <v>17.492404187838599</v>
      </c>
      <c r="O52" s="360">
        <v>42.846841842422599</v>
      </c>
      <c r="P52" s="354">
        <v>30.1696230151306</v>
      </c>
    </row>
    <row r="53" spans="1:16">
      <c r="A53" s="262">
        <v>17</v>
      </c>
      <c r="B53" s="262" t="s">
        <v>32</v>
      </c>
      <c r="C53" s="354">
        <v>0</v>
      </c>
      <c r="D53" s="269">
        <v>0.21782068558137799</v>
      </c>
      <c r="E53" s="269">
        <v>39.720227823427898</v>
      </c>
      <c r="F53" s="269">
        <v>3.9150227532032198</v>
      </c>
      <c r="G53" s="269">
        <v>40.021732647032202</v>
      </c>
      <c r="H53" s="355">
        <v>10.7800670543102</v>
      </c>
      <c r="I53" s="354">
        <v>56.234108105471599</v>
      </c>
      <c r="J53" s="269">
        <v>20.992909059052199</v>
      </c>
      <c r="K53" s="269">
        <v>53.590661753267803</v>
      </c>
      <c r="L53" s="269">
        <v>78.776553807139393</v>
      </c>
      <c r="M53" s="355">
        <v>86.128957669090994</v>
      </c>
      <c r="N53" s="360">
        <v>15.775811827259099</v>
      </c>
      <c r="O53" s="360">
        <v>59.144638078804398</v>
      </c>
      <c r="P53" s="354">
        <v>37.460224953031798</v>
      </c>
    </row>
    <row r="54" spans="1:16">
      <c r="A54" s="262">
        <v>18</v>
      </c>
      <c r="B54" s="262" t="s">
        <v>33</v>
      </c>
      <c r="C54" s="354">
        <v>0</v>
      </c>
      <c r="D54" s="269">
        <v>21.089002740378898</v>
      </c>
      <c r="E54" s="269">
        <v>10.417946133470901</v>
      </c>
      <c r="F54" s="269">
        <v>0</v>
      </c>
      <c r="G54" s="269">
        <v>100</v>
      </c>
      <c r="H54" s="355">
        <v>78.548240690153804</v>
      </c>
      <c r="I54" s="354">
        <v>48.093931183984303</v>
      </c>
      <c r="J54" s="269">
        <v>100</v>
      </c>
      <c r="K54" s="269">
        <v>37.8096949395213</v>
      </c>
      <c r="L54" s="269">
        <v>65.966760876103905</v>
      </c>
      <c r="M54" s="355">
        <v>58.913972029775103</v>
      </c>
      <c r="N54" s="360">
        <v>35.009198260667297</v>
      </c>
      <c r="O54" s="360">
        <v>62.156871805876897</v>
      </c>
      <c r="P54" s="354">
        <v>48.583035033272097</v>
      </c>
    </row>
    <row r="55" spans="1:16">
      <c r="A55" s="270">
        <v>19</v>
      </c>
      <c r="B55" s="270" t="s">
        <v>34</v>
      </c>
      <c r="C55" s="356">
        <v>0</v>
      </c>
      <c r="D55" s="353">
        <v>0</v>
      </c>
      <c r="E55" s="353">
        <v>1.3724267361282301</v>
      </c>
      <c r="F55" s="353">
        <v>6.4297886298100604</v>
      </c>
      <c r="G55" s="353">
        <v>44.603454797629198</v>
      </c>
      <c r="H55" s="357">
        <v>42.012643432991702</v>
      </c>
      <c r="I55" s="356">
        <v>43.660854847259301</v>
      </c>
      <c r="J55" s="353">
        <v>89.667498497280405</v>
      </c>
      <c r="K55" s="353">
        <v>100</v>
      </c>
      <c r="L55" s="353">
        <v>84.4621303903578</v>
      </c>
      <c r="M55" s="357">
        <v>83.178453581197402</v>
      </c>
      <c r="N55" s="361">
        <v>15.7363855994265</v>
      </c>
      <c r="O55" s="361">
        <v>80.193787463218996</v>
      </c>
      <c r="P55" s="356">
        <v>47.965086531322797</v>
      </c>
    </row>
  </sheetData>
  <mergeCells count="1">
    <mergeCell ref="A3:G3"/>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U57"/>
  <sheetViews>
    <sheetView zoomScale="85" zoomScaleNormal="85" workbookViewId="0"/>
  </sheetViews>
  <sheetFormatPr defaultRowHeight="14.25"/>
  <cols>
    <col min="1" max="1" width="20.5" customWidth="1"/>
    <col min="2" max="2" width="23.625" customWidth="1"/>
    <col min="3" max="3" width="22.875" customWidth="1"/>
    <col min="4" max="4" width="22.625" customWidth="1"/>
    <col min="5" max="6" width="22.875" customWidth="1"/>
    <col min="7" max="7" width="25.75" customWidth="1"/>
    <col min="8" max="8" width="24.75" customWidth="1"/>
    <col min="9" max="9" width="23" customWidth="1"/>
    <col min="10" max="10" width="27.625" customWidth="1"/>
    <col min="11" max="11" width="24.375" customWidth="1"/>
    <col min="12" max="12" width="22.75" customWidth="1"/>
    <col min="13" max="13" width="28.625" customWidth="1"/>
    <col min="14" max="14" width="28.25" customWidth="1"/>
    <col min="15" max="15" width="26.875" customWidth="1"/>
    <col min="16" max="16" width="24" customWidth="1"/>
  </cols>
  <sheetData>
    <row r="1" spans="1:21" ht="20.25">
      <c r="A1" s="307" t="s">
        <v>364</v>
      </c>
      <c r="B1" s="21"/>
      <c r="C1" s="21"/>
      <c r="D1" s="21"/>
      <c r="E1" s="21"/>
      <c r="F1" s="21"/>
      <c r="G1" s="22"/>
      <c r="H1" s="21"/>
      <c r="I1" s="3"/>
      <c r="J1" s="3"/>
      <c r="K1" s="3"/>
      <c r="L1" s="3"/>
      <c r="M1" s="3"/>
      <c r="N1" s="3"/>
      <c r="O1" s="3"/>
      <c r="P1" s="3"/>
      <c r="Q1" s="3"/>
    </row>
    <row r="2" spans="1:21" ht="15">
      <c r="A2" s="32" t="str">
        <f>INFO!A2</f>
        <v>VM/HVO 18.12.2025</v>
      </c>
      <c r="B2" s="374"/>
      <c r="C2" s="374"/>
      <c r="D2" s="374"/>
      <c r="E2" s="374"/>
      <c r="F2" s="374"/>
      <c r="G2" s="375"/>
      <c r="H2" s="21"/>
      <c r="I2" s="3"/>
      <c r="J2" s="3"/>
      <c r="K2" s="3"/>
      <c r="L2" s="3"/>
      <c r="M2" s="3"/>
      <c r="N2" s="3"/>
      <c r="O2" s="3"/>
      <c r="P2" s="3"/>
      <c r="Q2" s="3"/>
    </row>
    <row r="3" spans="1:21" ht="15">
      <c r="A3" s="376" t="s">
        <v>358</v>
      </c>
      <c r="B3" s="374"/>
      <c r="C3" s="374"/>
      <c r="D3" s="374"/>
      <c r="E3" s="374"/>
      <c r="F3" s="374"/>
      <c r="G3" s="375"/>
      <c r="H3" s="21"/>
      <c r="I3" s="3"/>
      <c r="J3" s="3"/>
      <c r="K3" s="3"/>
      <c r="L3" s="3"/>
      <c r="M3" s="3"/>
      <c r="N3" s="3"/>
      <c r="O3" s="3"/>
      <c r="P3" s="3"/>
      <c r="Q3" s="3"/>
    </row>
    <row r="4" spans="1:21" ht="75.75" customHeight="1">
      <c r="A4" s="571" t="s">
        <v>441</v>
      </c>
      <c r="B4" s="571"/>
      <c r="C4" s="571"/>
      <c r="D4" s="571"/>
      <c r="E4" s="571"/>
      <c r="F4" s="571"/>
      <c r="G4" s="571"/>
      <c r="H4" s="342"/>
      <c r="I4" s="342"/>
      <c r="J4" s="3"/>
      <c r="K4" s="3"/>
      <c r="L4" s="3"/>
      <c r="M4" s="3"/>
      <c r="N4" s="3"/>
      <c r="O4" s="3"/>
      <c r="P4" s="3"/>
      <c r="Q4" s="3"/>
    </row>
    <row r="5" spans="1:21">
      <c r="A5" s="333"/>
      <c r="B5" s="333"/>
      <c r="C5" s="333"/>
      <c r="D5" s="333"/>
      <c r="E5" s="333"/>
      <c r="F5" s="333"/>
      <c r="G5" s="333"/>
      <c r="H5" s="342"/>
      <c r="I5" s="342"/>
      <c r="J5" s="3"/>
      <c r="K5" s="3"/>
      <c r="L5" s="3"/>
      <c r="M5" s="3"/>
      <c r="N5" s="3"/>
      <c r="O5" s="3"/>
      <c r="P5" s="3"/>
      <c r="Q5" s="3"/>
    </row>
    <row r="6" spans="1:21" ht="17.25" thickBot="1">
      <c r="A6" s="348" t="s">
        <v>363</v>
      </c>
      <c r="B6" s="368"/>
      <c r="C6" s="368"/>
      <c r="D6" s="368"/>
      <c r="E6" s="368"/>
      <c r="F6" s="368"/>
      <c r="G6" s="368"/>
      <c r="H6" s="368"/>
      <c r="I6" s="368"/>
      <c r="J6" s="368"/>
      <c r="K6" s="368"/>
      <c r="L6" s="368"/>
      <c r="M6" s="3"/>
      <c r="N6" s="3"/>
      <c r="O6" s="3"/>
      <c r="P6" s="3"/>
      <c r="Q6" s="3"/>
    </row>
    <row r="7" spans="1:21" ht="57" customHeight="1">
      <c r="A7" s="223" t="s">
        <v>6</v>
      </c>
      <c r="B7" s="224" t="s">
        <v>7</v>
      </c>
      <c r="C7" s="224" t="s">
        <v>229</v>
      </c>
      <c r="D7" s="205" t="s">
        <v>361</v>
      </c>
      <c r="E7" s="205" t="s">
        <v>360</v>
      </c>
      <c r="F7" s="205" t="s">
        <v>359</v>
      </c>
      <c r="G7" s="205" t="s">
        <v>214</v>
      </c>
      <c r="H7" s="205" t="s">
        <v>215</v>
      </c>
      <c r="I7" s="205" t="s">
        <v>216</v>
      </c>
      <c r="J7" s="214" t="s">
        <v>375</v>
      </c>
      <c r="K7" s="215" t="s">
        <v>376</v>
      </c>
      <c r="L7" s="216" t="s">
        <v>377</v>
      </c>
      <c r="P7" s="253"/>
      <c r="Q7" s="3"/>
    </row>
    <row r="8" spans="1:21" ht="15">
      <c r="A8" s="225">
        <v>31</v>
      </c>
      <c r="B8" s="13" t="s">
        <v>14</v>
      </c>
      <c r="C8" s="14">
        <f>Määräytymistekijät!C8</f>
        <v>684018</v>
      </c>
      <c r="D8" s="303">
        <f>(D34+G34)/2</f>
        <v>0.90977699036136372</v>
      </c>
      <c r="E8" s="303">
        <f>(E34+H34)/2</f>
        <v>0.7909368146615825</v>
      </c>
      <c r="F8" s="303">
        <f t="shared" ref="F8" si="0">(F34+I34)/2</f>
        <v>0.8351653258798184</v>
      </c>
      <c r="G8" s="15">
        <f t="shared" ref="G8:G29" si="1">D8*(C8/$C$30)</f>
        <v>0.11102027546220834</v>
      </c>
      <c r="H8" s="15">
        <f t="shared" ref="H8:H29" si="2">E8*(C8/$C$30)</f>
        <v>9.6518184090424564E-2</v>
      </c>
      <c r="I8" s="15">
        <f t="shared" ref="I8:I29" si="3">F8*(C8/$C$30)</f>
        <v>0.10191539851852476</v>
      </c>
      <c r="J8" s="344">
        <f t="shared" ref="J8:J29" si="4">D8/$G$30</f>
        <v>0.91044173611120249</v>
      </c>
      <c r="K8" s="212">
        <f t="shared" ref="K8:K29" si="5">E8/$H$30</f>
        <v>0.79261389649682645</v>
      </c>
      <c r="L8" s="217">
        <f t="shared" ref="L8:L29" si="6">F8/$I$30</f>
        <v>0.83630672573341647</v>
      </c>
      <c r="Q8" s="322"/>
      <c r="R8" s="322"/>
      <c r="S8" s="322"/>
      <c r="T8" s="321"/>
      <c r="U8" s="321"/>
    </row>
    <row r="9" spans="1:21" ht="15">
      <c r="A9" s="106">
        <v>32</v>
      </c>
      <c r="B9" s="17" t="s">
        <v>41</v>
      </c>
      <c r="C9" s="14">
        <f>Määräytymistekijät!C9</f>
        <v>289730</v>
      </c>
      <c r="D9" s="303">
        <f t="shared" ref="D9:D28" si="7">(D35+G35)/2</f>
        <v>0.92959510584563221</v>
      </c>
      <c r="E9" s="303">
        <f t="shared" ref="E9:E29" si="8">(E35+H35)/2</f>
        <v>0.64962075356972748</v>
      </c>
      <c r="F9" s="303">
        <f t="shared" ref="F9:F29" si="9">(F35+I35)/2</f>
        <v>0.8978950953586653</v>
      </c>
      <c r="G9" s="18">
        <f t="shared" si="1"/>
        <v>4.8049305688983336E-2</v>
      </c>
      <c r="H9" s="18">
        <f t="shared" si="2"/>
        <v>3.3577872746850382E-2</v>
      </c>
      <c r="I9" s="18">
        <f t="shared" si="3"/>
        <v>4.6410782116027713E-2</v>
      </c>
      <c r="J9" s="345">
        <f t="shared" si="4"/>
        <v>0.93027433207604759</v>
      </c>
      <c r="K9" s="213">
        <f t="shared" si="5"/>
        <v>0.65099819250721769</v>
      </c>
      <c r="L9" s="218">
        <f t="shared" si="6"/>
        <v>0.89912222644113593</v>
      </c>
      <c r="Q9" s="322"/>
      <c r="R9" s="322"/>
      <c r="S9" s="322"/>
    </row>
    <row r="10" spans="1:21" ht="15">
      <c r="A10" s="106">
        <v>33</v>
      </c>
      <c r="B10" s="17" t="s">
        <v>15</v>
      </c>
      <c r="C10" s="14">
        <f>Määräytymistekijät!C10</f>
        <v>502067</v>
      </c>
      <c r="D10" s="303">
        <f t="shared" si="7"/>
        <v>0.84527030455767083</v>
      </c>
      <c r="E10" s="303">
        <f t="shared" si="8"/>
        <v>0.63735303169216073</v>
      </c>
      <c r="F10" s="303">
        <f t="shared" si="9"/>
        <v>0.74327656667820652</v>
      </c>
      <c r="G10" s="18">
        <f t="shared" si="1"/>
        <v>7.571067363332995E-2</v>
      </c>
      <c r="H10" s="18">
        <f t="shared" si="2"/>
        <v>5.7087569634792834E-2</v>
      </c>
      <c r="I10" s="18">
        <f t="shared" si="3"/>
        <v>6.6575117161514166E-2</v>
      </c>
      <c r="J10" s="345">
        <f t="shared" si="4"/>
        <v>0.84588791727856028</v>
      </c>
      <c r="K10" s="213">
        <f t="shared" si="5"/>
        <v>0.63870445847148694</v>
      </c>
      <c r="L10" s="218">
        <f t="shared" si="6"/>
        <v>0.74429238443081214</v>
      </c>
      <c r="Q10" s="322"/>
      <c r="R10" s="322"/>
      <c r="S10" s="322"/>
    </row>
    <row r="11" spans="1:21" ht="15">
      <c r="A11" s="106">
        <v>34</v>
      </c>
      <c r="B11" s="17" t="s">
        <v>16</v>
      </c>
      <c r="C11" s="14">
        <f>Määräytymistekijät!C11</f>
        <v>99415</v>
      </c>
      <c r="D11" s="303">
        <f t="shared" si="7"/>
        <v>0.96339604418575364</v>
      </c>
      <c r="E11" s="303">
        <f t="shared" si="8"/>
        <v>0.91371130720437366</v>
      </c>
      <c r="F11" s="303">
        <f t="shared" si="9"/>
        <v>0.80669854367823235</v>
      </c>
      <c r="G11" s="18">
        <f t="shared" si="1"/>
        <v>1.7086637157671312E-2</v>
      </c>
      <c r="H11" s="18">
        <f t="shared" si="2"/>
        <v>1.6205436660535488E-2</v>
      </c>
      <c r="I11" s="18">
        <f t="shared" si="3"/>
        <v>1.4307475512940921E-2</v>
      </c>
      <c r="J11" s="345">
        <f t="shared" si="4"/>
        <v>0.96409996771049522</v>
      </c>
      <c r="K11" s="213">
        <f t="shared" si="5"/>
        <v>0.91564871687802141</v>
      </c>
      <c r="L11" s="218">
        <f t="shared" si="6"/>
        <v>0.80780103868265807</v>
      </c>
      <c r="Q11" s="322"/>
      <c r="R11" s="322"/>
      <c r="S11" s="322"/>
    </row>
    <row r="12" spans="1:21" ht="15">
      <c r="A12" s="106">
        <v>35</v>
      </c>
      <c r="B12" s="17" t="s">
        <v>17</v>
      </c>
      <c r="C12" s="14">
        <f>Määräytymistekijät!C12</f>
        <v>207070</v>
      </c>
      <c r="D12" s="303">
        <f t="shared" si="7"/>
        <v>0.91210148496433763</v>
      </c>
      <c r="E12" s="303">
        <f t="shared" si="8"/>
        <v>0.73088714057766069</v>
      </c>
      <c r="F12" s="303">
        <f t="shared" si="9"/>
        <v>0.82000291261857672</v>
      </c>
      <c r="G12" s="18">
        <f t="shared" si="1"/>
        <v>3.3694589349998472E-2</v>
      </c>
      <c r="H12" s="18">
        <f t="shared" si="2"/>
        <v>2.7000221432510629E-2</v>
      </c>
      <c r="I12" s="18">
        <f t="shared" si="3"/>
        <v>3.0292310518018638E-2</v>
      </c>
      <c r="J12" s="345">
        <f t="shared" si="4"/>
        <v>0.91276792915008353</v>
      </c>
      <c r="K12" s="213">
        <f t="shared" si="5"/>
        <v>0.73243689464695472</v>
      </c>
      <c r="L12" s="218">
        <f t="shared" si="6"/>
        <v>0.82112359037591398</v>
      </c>
      <c r="Q12" s="322"/>
      <c r="R12" s="322"/>
      <c r="S12" s="322"/>
    </row>
    <row r="13" spans="1:21" ht="15">
      <c r="A13" s="107">
        <v>2</v>
      </c>
      <c r="B13" s="17" t="s">
        <v>18</v>
      </c>
      <c r="C13" s="14">
        <f>Määräytymistekijät!C13</f>
        <v>494819</v>
      </c>
      <c r="D13" s="303">
        <f t="shared" si="7"/>
        <v>1.0473197801553769</v>
      </c>
      <c r="E13" s="303">
        <f t="shared" si="8"/>
        <v>1.0849463708747755</v>
      </c>
      <c r="F13" s="303">
        <f t="shared" si="9"/>
        <v>1.0236676407298346</v>
      </c>
      <c r="G13" s="18">
        <f t="shared" si="1"/>
        <v>9.2453955110246816E-2</v>
      </c>
      <c r="H13" s="18">
        <f t="shared" si="2"/>
        <v>9.5775507128300769E-2</v>
      </c>
      <c r="I13" s="18">
        <f t="shared" si="3"/>
        <v>9.0366021817908967E-2</v>
      </c>
      <c r="J13" s="345">
        <f t="shared" si="4"/>
        <v>1.0480850241436908</v>
      </c>
      <c r="K13" s="213">
        <f t="shared" si="5"/>
        <v>1.0872468629205105</v>
      </c>
      <c r="L13" s="218">
        <f t="shared" si="6"/>
        <v>1.0250666620481961</v>
      </c>
      <c r="Q13" s="322"/>
      <c r="R13" s="322"/>
      <c r="S13" s="322"/>
    </row>
    <row r="14" spans="1:21" ht="15">
      <c r="A14" s="107">
        <v>4</v>
      </c>
      <c r="B14" s="17" t="s">
        <v>19</v>
      </c>
      <c r="C14" s="14">
        <f>Määräytymistekijät!C14</f>
        <v>211261</v>
      </c>
      <c r="D14" s="303">
        <f t="shared" si="7"/>
        <v>1.040325342792207</v>
      </c>
      <c r="E14" s="303">
        <f t="shared" si="8"/>
        <v>1.1638604042183451</v>
      </c>
      <c r="F14" s="303">
        <f t="shared" si="9"/>
        <v>1.0965172144038</v>
      </c>
      <c r="G14" s="18">
        <f t="shared" si="1"/>
        <v>3.920923156417816E-2</v>
      </c>
      <c r="H14" s="18">
        <f t="shared" si="2"/>
        <v>4.3865193147073003E-2</v>
      </c>
      <c r="I14" s="18">
        <f t="shared" si="3"/>
        <v>4.1327069143843459E-2</v>
      </c>
      <c r="J14" s="345">
        <f t="shared" si="4"/>
        <v>1.0410854761626893</v>
      </c>
      <c r="K14" s="213">
        <f t="shared" si="5"/>
        <v>1.1663282235264014</v>
      </c>
      <c r="L14" s="218">
        <f t="shared" si="6"/>
        <v>1.0980157974378475</v>
      </c>
      <c r="Q14" s="322"/>
      <c r="R14" s="322"/>
      <c r="S14" s="322"/>
    </row>
    <row r="15" spans="1:21" ht="15">
      <c r="A15" s="107">
        <v>5</v>
      </c>
      <c r="B15" s="17" t="s">
        <v>20</v>
      </c>
      <c r="C15" s="14">
        <f>Määräytymistekijät!C15</f>
        <v>169455</v>
      </c>
      <c r="D15" s="303">
        <f t="shared" si="7"/>
        <v>1.0454982081939308</v>
      </c>
      <c r="E15" s="303">
        <f t="shared" si="8"/>
        <v>1.1085269349315565</v>
      </c>
      <c r="F15" s="303">
        <f t="shared" si="9"/>
        <v>1.0063827946872057</v>
      </c>
      <c r="G15" s="18">
        <f t="shared" si="1"/>
        <v>3.160657976515914E-2</v>
      </c>
      <c r="H15" s="18">
        <f t="shared" si="2"/>
        <v>3.3512008644440074E-2</v>
      </c>
      <c r="I15" s="18">
        <f t="shared" si="3"/>
        <v>3.0424077081406892E-2</v>
      </c>
      <c r="J15" s="345">
        <f t="shared" si="4"/>
        <v>1.0462621212162693</v>
      </c>
      <c r="K15" s="213">
        <f t="shared" si="5"/>
        <v>1.1108774265915609</v>
      </c>
      <c r="L15" s="218">
        <f t="shared" si="6"/>
        <v>1.0077581932327686</v>
      </c>
      <c r="Q15" s="322"/>
      <c r="R15" s="322"/>
      <c r="S15" s="322"/>
    </row>
    <row r="16" spans="1:21" ht="15">
      <c r="A16" s="107">
        <v>6</v>
      </c>
      <c r="B16" s="17" t="s">
        <v>21</v>
      </c>
      <c r="C16" s="14">
        <f>Määräytymistekijät!C16</f>
        <v>545406</v>
      </c>
      <c r="D16" s="303">
        <f t="shared" si="7"/>
        <v>1.013188643688951</v>
      </c>
      <c r="E16" s="303">
        <f t="shared" si="8"/>
        <v>0.98033528352462096</v>
      </c>
      <c r="F16" s="303">
        <f t="shared" si="9"/>
        <v>0.95328376053307662</v>
      </c>
      <c r="G16" s="18">
        <f t="shared" si="1"/>
        <v>9.858481962747441E-2</v>
      </c>
      <c r="H16" s="18">
        <f t="shared" si="2"/>
        <v>9.538813695033295E-2</v>
      </c>
      <c r="I16" s="18">
        <f t="shared" si="3"/>
        <v>9.2755981989475919E-2</v>
      </c>
      <c r="J16" s="345">
        <f t="shared" si="4"/>
        <v>1.0139289491174381</v>
      </c>
      <c r="K16" s="213">
        <f t="shared" si="5"/>
        <v>0.98241396094356415</v>
      </c>
      <c r="L16" s="218">
        <f t="shared" si="6"/>
        <v>0.95458658993821699</v>
      </c>
      <c r="Q16" s="322"/>
      <c r="R16" s="322"/>
      <c r="S16" s="322"/>
    </row>
    <row r="17" spans="1:19" ht="15">
      <c r="A17" s="107">
        <v>7</v>
      </c>
      <c r="B17" s="17" t="s">
        <v>22</v>
      </c>
      <c r="C17" s="14">
        <f>Määräytymistekijät!C17</f>
        <v>204635</v>
      </c>
      <c r="D17" s="303">
        <f t="shared" si="7"/>
        <v>1.0656282216275446</v>
      </c>
      <c r="E17" s="303">
        <f t="shared" si="8"/>
        <v>1.1415375747355379</v>
      </c>
      <c r="F17" s="303">
        <f t="shared" si="9"/>
        <v>1.0603693460461376</v>
      </c>
      <c r="G17" s="18">
        <f t="shared" si="1"/>
        <v>3.8903211206922389E-2</v>
      </c>
      <c r="H17" s="18">
        <f t="shared" si="2"/>
        <v>4.1674456878354388E-2</v>
      </c>
      <c r="I17" s="18">
        <f t="shared" si="3"/>
        <v>3.8711223848383838E-2</v>
      </c>
      <c r="J17" s="345">
        <f t="shared" si="4"/>
        <v>1.0664068430245903</v>
      </c>
      <c r="K17" s="213">
        <f t="shared" si="5"/>
        <v>1.1439580612969791</v>
      </c>
      <c r="L17" s="218">
        <f t="shared" si="6"/>
        <v>1.0618185266799982</v>
      </c>
      <c r="Q17" s="322"/>
      <c r="R17" s="322"/>
      <c r="S17" s="322"/>
    </row>
    <row r="18" spans="1:19" ht="15">
      <c r="A18" s="107">
        <v>8</v>
      </c>
      <c r="B18" s="17" t="s">
        <v>23</v>
      </c>
      <c r="C18" s="14">
        <f>Määräytymistekijät!C18</f>
        <v>157442</v>
      </c>
      <c r="D18" s="303">
        <f t="shared" si="7"/>
        <v>1.1252310131741134</v>
      </c>
      <c r="E18" s="303">
        <f t="shared" si="8"/>
        <v>1.4019234421270637</v>
      </c>
      <c r="F18" s="303">
        <f t="shared" si="9"/>
        <v>1.1498740518239239</v>
      </c>
      <c r="G18" s="18">
        <f t="shared" si="1"/>
        <v>3.1605459811846287E-2</v>
      </c>
      <c r="H18" s="18">
        <f t="shared" si="2"/>
        <v>3.9377189653211256E-2</v>
      </c>
      <c r="I18" s="18">
        <f t="shared" si="3"/>
        <v>3.2297632848822332E-2</v>
      </c>
      <c r="J18" s="345">
        <f t="shared" si="4"/>
        <v>1.1260531844771018</v>
      </c>
      <c r="K18" s="213">
        <f t="shared" si="5"/>
        <v>1.4048960441043783</v>
      </c>
      <c r="L18" s="218">
        <f t="shared" si="6"/>
        <v>1.1514455563317594</v>
      </c>
      <c r="Q18" s="322"/>
      <c r="R18" s="322"/>
      <c r="S18" s="322"/>
    </row>
    <row r="19" spans="1:19" ht="15">
      <c r="A19" s="107">
        <v>9</v>
      </c>
      <c r="B19" s="17" t="s">
        <v>24</v>
      </c>
      <c r="C19" s="14">
        <f>Määräytymistekijät!C19</f>
        <v>125083</v>
      </c>
      <c r="D19" s="303">
        <f t="shared" si="7"/>
        <v>1.0026372582526071</v>
      </c>
      <c r="E19" s="303">
        <f t="shared" si="8"/>
        <v>1.1630294006790116</v>
      </c>
      <c r="F19" s="303">
        <f t="shared" si="9"/>
        <v>0.95967165350099592</v>
      </c>
      <c r="G19" s="18">
        <f t="shared" si="1"/>
        <v>2.2373913228103042E-2</v>
      </c>
      <c r="H19" s="18">
        <f t="shared" si="2"/>
        <v>2.5953073934111632E-2</v>
      </c>
      <c r="I19" s="18">
        <f t="shared" si="3"/>
        <v>2.141513306649117E-2</v>
      </c>
      <c r="J19" s="345">
        <f t="shared" si="4"/>
        <v>1.0033698541119382</v>
      </c>
      <c r="K19" s="213">
        <f t="shared" si="5"/>
        <v>1.1654954579487924</v>
      </c>
      <c r="L19" s="218">
        <f t="shared" si="6"/>
        <v>0.96098321308191403</v>
      </c>
      <c r="Q19" s="322"/>
      <c r="R19" s="322"/>
      <c r="S19" s="322"/>
    </row>
    <row r="20" spans="1:19" ht="15">
      <c r="A20" s="107">
        <v>10</v>
      </c>
      <c r="B20" s="17" t="s">
        <v>25</v>
      </c>
      <c r="C20" s="14">
        <f>Määräytymistekijät!C20</f>
        <v>129376</v>
      </c>
      <c r="D20" s="303">
        <f t="shared" si="7"/>
        <v>1.1552041423606829</v>
      </c>
      <c r="E20" s="303">
        <f t="shared" si="8"/>
        <v>1.4784536400737256</v>
      </c>
      <c r="F20" s="303">
        <f t="shared" si="9"/>
        <v>1.2000385533642721</v>
      </c>
      <c r="G20" s="18">
        <f t="shared" si="1"/>
        <v>2.6663200515163677E-2</v>
      </c>
      <c r="H20" s="18">
        <f t="shared" si="2"/>
        <v>3.4124103621289988E-2</v>
      </c>
      <c r="I20" s="18">
        <f t="shared" si="3"/>
        <v>2.7698020982587793E-2</v>
      </c>
      <c r="J20" s="345">
        <f t="shared" si="4"/>
        <v>1.1560482140969064</v>
      </c>
      <c r="K20" s="213">
        <f t="shared" si="5"/>
        <v>1.4815885146908325</v>
      </c>
      <c r="L20" s="218">
        <f t="shared" si="6"/>
        <v>1.2016786164591797</v>
      </c>
      <c r="Q20" s="322"/>
      <c r="R20" s="322"/>
      <c r="S20" s="322"/>
    </row>
    <row r="21" spans="1:19" ht="15">
      <c r="A21" s="107">
        <v>11</v>
      </c>
      <c r="B21" s="17" t="s">
        <v>26</v>
      </c>
      <c r="C21" s="14">
        <f>Määräytymistekijät!C21</f>
        <v>248815</v>
      </c>
      <c r="D21" s="303">
        <f t="shared" si="7"/>
        <v>1.0903726335549613</v>
      </c>
      <c r="E21" s="303">
        <f t="shared" si="8"/>
        <v>1.1976985121622423</v>
      </c>
      <c r="F21" s="303">
        <f t="shared" si="9"/>
        <v>1.1815184863244448</v>
      </c>
      <c r="G21" s="18">
        <f t="shared" si="1"/>
        <v>4.8400664372412423E-2</v>
      </c>
      <c r="H21" s="18">
        <f t="shared" si="2"/>
        <v>5.3164763973857027E-2</v>
      </c>
      <c r="I21" s="18">
        <f t="shared" si="3"/>
        <v>5.2446547122101519E-2</v>
      </c>
      <c r="J21" s="345">
        <f t="shared" si="4"/>
        <v>1.0911693349241707</v>
      </c>
      <c r="K21" s="213">
        <f t="shared" si="5"/>
        <v>1.2002380809136419</v>
      </c>
      <c r="L21" s="218">
        <f t="shared" si="6"/>
        <v>1.1831332385004807</v>
      </c>
      <c r="Q21" s="322"/>
      <c r="R21" s="322"/>
      <c r="S21" s="322"/>
    </row>
    <row r="22" spans="1:19" ht="15">
      <c r="A22" s="107">
        <v>12</v>
      </c>
      <c r="B22" s="17" t="s">
        <v>27</v>
      </c>
      <c r="C22" s="14">
        <f>Määräytymistekijät!C22</f>
        <v>162091</v>
      </c>
      <c r="D22" s="303">
        <f t="shared" si="7"/>
        <v>1.1920610714346611</v>
      </c>
      <c r="E22" s="303">
        <f t="shared" si="8"/>
        <v>1.3252506025710966</v>
      </c>
      <c r="F22" s="303">
        <f t="shared" si="9"/>
        <v>1.2711574793771772</v>
      </c>
      <c r="G22" s="18">
        <f t="shared" si="1"/>
        <v>3.4471265609048632E-2</v>
      </c>
      <c r="H22" s="18">
        <f t="shared" si="2"/>
        <v>3.8322755951421053E-2</v>
      </c>
      <c r="I22" s="18">
        <f t="shared" si="3"/>
        <v>3.6758525341158407E-2</v>
      </c>
      <c r="J22" s="345">
        <f t="shared" si="4"/>
        <v>1.1929320733825888</v>
      </c>
      <c r="K22" s="213">
        <f t="shared" si="5"/>
        <v>1.3280606294550634</v>
      </c>
      <c r="L22" s="218">
        <f t="shared" si="6"/>
        <v>1.2728947389542946</v>
      </c>
      <c r="Q22" s="322"/>
      <c r="R22" s="322"/>
      <c r="S22" s="322"/>
    </row>
    <row r="23" spans="1:19" ht="15">
      <c r="A23" s="107">
        <v>13</v>
      </c>
      <c r="B23" s="17" t="s">
        <v>28</v>
      </c>
      <c r="C23" s="14">
        <f>Määräytymistekijät!C23</f>
        <v>274112</v>
      </c>
      <c r="D23" s="303">
        <f t="shared" si="7"/>
        <v>0.96995002264179664</v>
      </c>
      <c r="E23" s="303">
        <f t="shared" si="8"/>
        <v>1.0131012868252314</v>
      </c>
      <c r="F23" s="303">
        <f t="shared" si="9"/>
        <v>1.019476664298073</v>
      </c>
      <c r="G23" s="18">
        <f t="shared" si="1"/>
        <v>4.7432632375008971E-2</v>
      </c>
      <c r="H23" s="18">
        <f t="shared" si="2"/>
        <v>4.954282156285502E-2</v>
      </c>
      <c r="I23" s="18">
        <f t="shared" si="3"/>
        <v>4.9854591168362716E-2</v>
      </c>
      <c r="J23" s="345">
        <f t="shared" si="4"/>
        <v>0.97065873495474608</v>
      </c>
      <c r="K23" s="213">
        <f t="shared" si="5"/>
        <v>1.0152494404247372</v>
      </c>
      <c r="L23" s="218">
        <f t="shared" si="6"/>
        <v>1.0208699579123053</v>
      </c>
      <c r="Q23" s="322"/>
      <c r="R23" s="322"/>
      <c r="S23" s="322"/>
    </row>
    <row r="24" spans="1:19" ht="15">
      <c r="A24" s="107">
        <v>14</v>
      </c>
      <c r="B24" s="17" t="s">
        <v>29</v>
      </c>
      <c r="C24" s="14">
        <f>Määräytymistekijät!C24</f>
        <v>189929</v>
      </c>
      <c r="D24" s="303">
        <f t="shared" si="7"/>
        <v>1.0931841416484043</v>
      </c>
      <c r="E24" s="303">
        <f t="shared" si="8"/>
        <v>1.2757926489992117</v>
      </c>
      <c r="F24" s="303">
        <f t="shared" si="9"/>
        <v>1.0936356977379265</v>
      </c>
      <c r="G24" s="18">
        <f t="shared" si="1"/>
        <v>3.704114697512019E-2</v>
      </c>
      <c r="H24" s="18">
        <f t="shared" si="2"/>
        <v>4.3228602776929699E-2</v>
      </c>
      <c r="I24" s="18">
        <f t="shared" si="3"/>
        <v>3.7056447375887328E-2</v>
      </c>
      <c r="J24" s="345">
        <f t="shared" si="4"/>
        <v>1.0939828972991306</v>
      </c>
      <c r="K24" s="213">
        <f t="shared" si="5"/>
        <v>1.2784978065257202</v>
      </c>
      <c r="L24" s="218">
        <f t="shared" si="6"/>
        <v>1.0951303426742123</v>
      </c>
      <c r="Q24" s="322"/>
      <c r="R24" s="322"/>
      <c r="S24" s="322"/>
    </row>
    <row r="25" spans="1:19" ht="15">
      <c r="A25" s="107">
        <v>15</v>
      </c>
      <c r="B25" s="17" t="s">
        <v>30</v>
      </c>
      <c r="C25" s="14">
        <f>Määräytymistekijät!C25</f>
        <v>178749</v>
      </c>
      <c r="D25" s="303">
        <f t="shared" si="7"/>
        <v>0.94161710785984143</v>
      </c>
      <c r="E25" s="303">
        <f t="shared" si="8"/>
        <v>0.9465281171061245</v>
      </c>
      <c r="F25" s="303">
        <f t="shared" si="9"/>
        <v>0.83012273464999398</v>
      </c>
      <c r="G25" s="18">
        <f t="shared" si="1"/>
        <v>3.002740369774605E-2</v>
      </c>
      <c r="H25" s="18">
        <f t="shared" si="2"/>
        <v>3.0184011788200855E-2</v>
      </c>
      <c r="I25" s="18">
        <f t="shared" si="3"/>
        <v>2.6471938820935868E-2</v>
      </c>
      <c r="J25" s="345">
        <f t="shared" si="4"/>
        <v>0.94230511819320528</v>
      </c>
      <c r="K25" s="213">
        <f t="shared" si="5"/>
        <v>0.9485351106893295</v>
      </c>
      <c r="L25" s="218">
        <f t="shared" si="6"/>
        <v>0.83125724291852121</v>
      </c>
      <c r="Q25" s="322"/>
      <c r="R25" s="322"/>
      <c r="S25" s="322"/>
    </row>
    <row r="26" spans="1:19" ht="15">
      <c r="A26" s="107">
        <v>16</v>
      </c>
      <c r="B26" s="17" t="s">
        <v>31</v>
      </c>
      <c r="C26" s="14">
        <f>Määräytymistekijät!C26</f>
        <v>67723</v>
      </c>
      <c r="D26" s="303">
        <f t="shared" si="7"/>
        <v>1.0775563661706387</v>
      </c>
      <c r="E26" s="303">
        <f t="shared" si="8"/>
        <v>1.1736740924604185</v>
      </c>
      <c r="F26" s="303">
        <f t="shared" si="9"/>
        <v>1.1842493091344402</v>
      </c>
      <c r="G26" s="18">
        <f t="shared" si="1"/>
        <v>1.3018951432394307E-2</v>
      </c>
      <c r="H26" s="18">
        <f t="shared" si="2"/>
        <v>1.4180238256586902E-2</v>
      </c>
      <c r="I26" s="18">
        <f t="shared" si="3"/>
        <v>1.4308007194332039E-2</v>
      </c>
      <c r="J26" s="345">
        <f t="shared" si="4"/>
        <v>1.0783437030918979</v>
      </c>
      <c r="K26" s="213">
        <f t="shared" si="5"/>
        <v>1.1761627204575917</v>
      </c>
      <c r="L26" s="218">
        <f t="shared" si="6"/>
        <v>1.1858677934586614</v>
      </c>
      <c r="Q26" s="322"/>
      <c r="R26" s="322"/>
      <c r="S26" s="322"/>
    </row>
    <row r="27" spans="1:19" ht="15">
      <c r="A27" s="107">
        <v>17</v>
      </c>
      <c r="B27" s="17" t="s">
        <v>32</v>
      </c>
      <c r="C27" s="14">
        <f>Määräytymistekijät!C27</f>
        <v>418331</v>
      </c>
      <c r="D27" s="303">
        <f t="shared" si="7"/>
        <v>0.97396344775459776</v>
      </c>
      <c r="E27" s="303">
        <f t="shared" si="8"/>
        <v>0.97334200062899257</v>
      </c>
      <c r="F27" s="303">
        <f t="shared" si="9"/>
        <v>1.2013674960107379</v>
      </c>
      <c r="G27" s="18">
        <f t="shared" si="1"/>
        <v>7.2687968060080918E-2</v>
      </c>
      <c r="H27" s="18">
        <f t="shared" si="2"/>
        <v>7.264158877457369E-2</v>
      </c>
      <c r="I27" s="18">
        <f t="shared" si="3"/>
        <v>8.9659383398596013E-2</v>
      </c>
      <c r="J27" s="345">
        <f t="shared" si="4"/>
        <v>0.97467509255244655</v>
      </c>
      <c r="K27" s="213">
        <f t="shared" si="5"/>
        <v>0.97540584967290556</v>
      </c>
      <c r="L27" s="218">
        <f t="shared" si="6"/>
        <v>1.2030093753387854</v>
      </c>
      <c r="Q27" s="322"/>
      <c r="R27" s="322"/>
      <c r="S27" s="322"/>
    </row>
    <row r="28" spans="1:19" ht="15">
      <c r="A28" s="107">
        <v>18</v>
      </c>
      <c r="B28" s="17" t="s">
        <v>33</v>
      </c>
      <c r="C28" s="14">
        <f>Määräytymistekijät!C28</f>
        <v>69639</v>
      </c>
      <c r="D28" s="303">
        <f t="shared" si="7"/>
        <v>1.1369264921787945</v>
      </c>
      <c r="E28" s="303">
        <f t="shared" si="8"/>
        <v>1.4143959067285341</v>
      </c>
      <c r="F28" s="303">
        <f t="shared" si="9"/>
        <v>1.2530678341026014</v>
      </c>
      <c r="G28" s="18">
        <f t="shared" si="1"/>
        <v>1.4124878929922976E-2</v>
      </c>
      <c r="H28" s="18">
        <f t="shared" si="2"/>
        <v>1.7572086743473807E-2</v>
      </c>
      <c r="I28" s="18">
        <f t="shared" si="3"/>
        <v>1.5567788743985586E-2</v>
      </c>
      <c r="J28" s="345">
        <f t="shared" si="4"/>
        <v>1.1377572090045243</v>
      </c>
      <c r="K28" s="213">
        <f t="shared" si="5"/>
        <v>1.4173949549951554</v>
      </c>
      <c r="L28" s="218">
        <f t="shared" si="6"/>
        <v>1.2547803710076584</v>
      </c>
      <c r="Q28" s="322"/>
      <c r="R28" s="322"/>
      <c r="S28" s="322"/>
    </row>
    <row r="29" spans="1:19" ht="15.75" thickBot="1">
      <c r="A29" s="226">
        <v>19</v>
      </c>
      <c r="B29" s="227" t="s">
        <v>34</v>
      </c>
      <c r="C29" s="228">
        <f>Määräytymistekijät!C29</f>
        <v>176151</v>
      </c>
      <c r="D29" s="304">
        <f>(D55+G55)/2</f>
        <v>1.1170189717111603</v>
      </c>
      <c r="E29" s="304">
        <f t="shared" si="8"/>
        <v>1.240649865014646</v>
      </c>
      <c r="F29" s="304">
        <f t="shared" si="9"/>
        <v>1.3369859266556801</v>
      </c>
      <c r="G29" s="229">
        <f t="shared" si="1"/>
        <v>3.5103101017461204E-2</v>
      </c>
      <c r="H29" s="229">
        <f t="shared" si="2"/>
        <v>3.8988288150731694E-2</v>
      </c>
      <c r="I29" s="229">
        <f t="shared" si="3"/>
        <v>4.2015716143498166E-2</v>
      </c>
      <c r="J29" s="346">
        <f t="shared" si="4"/>
        <v>1.1178351427308728</v>
      </c>
      <c r="K29" s="220">
        <f t="shared" si="5"/>
        <v>1.2432805066966928</v>
      </c>
      <c r="L29" s="221">
        <f t="shared" si="6"/>
        <v>1.3388131523481976</v>
      </c>
      <c r="Q29" s="322"/>
      <c r="R29" s="322"/>
      <c r="S29" s="322"/>
    </row>
    <row r="30" spans="1:19" s="127" customFormat="1" ht="15">
      <c r="A30" s="222"/>
      <c r="B30" s="222"/>
      <c r="C30" s="320">
        <f>SUM(C8:C29)</f>
        <v>5605317</v>
      </c>
      <c r="D30" s="252"/>
      <c r="E30" s="252"/>
      <c r="F30" s="252"/>
      <c r="G30" s="347">
        <f>SUM(G8:G29)</f>
        <v>0.99926986459048095</v>
      </c>
      <c r="H30" s="347">
        <f>SUM(H8:H29)</f>
        <v>0.99788411250085784</v>
      </c>
      <c r="I30" s="347">
        <f>SUM(I8:I29)</f>
        <v>0.99863518991480416</v>
      </c>
      <c r="J30" s="219"/>
      <c r="K30" s="219"/>
      <c r="L30" s="219"/>
      <c r="P30" s="219"/>
      <c r="Q30" s="126"/>
    </row>
    <row r="31" spans="1:19" s="127" customFormat="1" ht="15">
      <c r="A31" s="23"/>
      <c r="B31" s="128"/>
      <c r="C31" s="128"/>
      <c r="D31" s="128"/>
      <c r="E31" s="129"/>
      <c r="F31" s="128"/>
      <c r="G31" s="128"/>
      <c r="H31" s="128"/>
      <c r="I31" s="128"/>
      <c r="J31" s="128"/>
      <c r="K31" s="128"/>
      <c r="L31" s="128"/>
      <c r="M31" s="128"/>
      <c r="N31" s="128"/>
      <c r="O31" s="128"/>
      <c r="P31" s="128"/>
      <c r="Q31" s="126"/>
    </row>
    <row r="32" spans="1:19" ht="17.25" thickBot="1">
      <c r="A32" s="343" t="s">
        <v>362</v>
      </c>
      <c r="B32" s="368"/>
      <c r="C32" s="368"/>
      <c r="D32" s="368"/>
      <c r="E32" s="368"/>
      <c r="F32" s="368"/>
      <c r="G32" s="368"/>
      <c r="H32" s="368"/>
      <c r="I32" s="368"/>
      <c r="J32" s="10"/>
      <c r="K32" s="10"/>
      <c r="L32" s="10"/>
      <c r="M32" s="10"/>
      <c r="N32" s="10"/>
      <c r="O32" s="10"/>
      <c r="P32" s="10"/>
    </row>
    <row r="33" spans="1:9" ht="54.6" customHeight="1" thickTop="1">
      <c r="A33" s="350" t="s">
        <v>6</v>
      </c>
      <c r="B33" s="156" t="s">
        <v>7</v>
      </c>
      <c r="C33" s="156" t="s">
        <v>229</v>
      </c>
      <c r="D33" s="510" t="s">
        <v>440</v>
      </c>
      <c r="E33" s="510" t="s">
        <v>479</v>
      </c>
      <c r="F33" s="510" t="s">
        <v>480</v>
      </c>
      <c r="G33" s="349" t="s">
        <v>246</v>
      </c>
      <c r="H33" s="349" t="s">
        <v>247</v>
      </c>
      <c r="I33" s="373" t="s">
        <v>248</v>
      </c>
    </row>
    <row r="34" spans="1:9">
      <c r="A34" s="225">
        <v>31</v>
      </c>
      <c r="B34" s="13" t="s">
        <v>14</v>
      </c>
      <c r="C34" s="14">
        <v>684018</v>
      </c>
      <c r="D34" s="369">
        <v>0.89156514292668942</v>
      </c>
      <c r="E34" s="369">
        <v>0.75811945228653621</v>
      </c>
      <c r="F34" s="369">
        <v>0.82359856366985662</v>
      </c>
      <c r="G34" s="369">
        <v>0.92798883779603802</v>
      </c>
      <c r="H34" s="369">
        <v>0.82375417703662868</v>
      </c>
      <c r="I34" s="370">
        <v>0.84673208808978029</v>
      </c>
    </row>
    <row r="35" spans="1:9">
      <c r="A35" s="106">
        <v>32</v>
      </c>
      <c r="B35" s="17" t="s">
        <v>41</v>
      </c>
      <c r="C35" s="14">
        <v>289730</v>
      </c>
      <c r="D35" s="369">
        <v>0.91293607884250183</v>
      </c>
      <c r="E35" s="369">
        <v>0.61149700426489384</v>
      </c>
      <c r="F35" s="369">
        <v>0.87654037660181816</v>
      </c>
      <c r="G35" s="369">
        <v>0.94625413284876259</v>
      </c>
      <c r="H35" s="369">
        <v>0.68774450287456113</v>
      </c>
      <c r="I35" s="370">
        <v>0.91924981411551254</v>
      </c>
    </row>
    <row r="36" spans="1:9">
      <c r="A36" s="106">
        <v>33</v>
      </c>
      <c r="B36" s="17" t="s">
        <v>15</v>
      </c>
      <c r="C36" s="14">
        <v>502067</v>
      </c>
      <c r="D36" s="369">
        <v>0.85099051753620558</v>
      </c>
      <c r="E36" s="369">
        <v>0.63662999103640494</v>
      </c>
      <c r="F36" s="369">
        <v>0.75069612396236141</v>
      </c>
      <c r="G36" s="369">
        <v>0.83955009157913618</v>
      </c>
      <c r="H36" s="369">
        <v>0.63807607234791652</v>
      </c>
      <c r="I36" s="370">
        <v>0.73585700939405163</v>
      </c>
    </row>
    <row r="37" spans="1:9">
      <c r="A37" s="106">
        <v>34</v>
      </c>
      <c r="B37" s="17" t="s">
        <v>16</v>
      </c>
      <c r="C37" s="14">
        <v>99415</v>
      </c>
      <c r="D37" s="369">
        <v>0.97469832164397119</v>
      </c>
      <c r="E37" s="369">
        <v>0.92089243288534683</v>
      </c>
      <c r="F37" s="369">
        <v>0.82035168027845096</v>
      </c>
      <c r="G37" s="369">
        <v>0.95209376672753598</v>
      </c>
      <c r="H37" s="369">
        <v>0.90653018152340037</v>
      </c>
      <c r="I37" s="370">
        <v>0.79304540707801363</v>
      </c>
    </row>
    <row r="38" spans="1:9">
      <c r="A38" s="106">
        <v>35</v>
      </c>
      <c r="B38" s="17" t="s">
        <v>17</v>
      </c>
      <c r="C38" s="14">
        <v>207070</v>
      </c>
      <c r="D38" s="369">
        <v>0.9194711688574192</v>
      </c>
      <c r="E38" s="369">
        <v>0.73607676995482163</v>
      </c>
      <c r="F38" s="369">
        <v>0.82806991326302259</v>
      </c>
      <c r="G38" s="369">
        <v>0.90473180107125617</v>
      </c>
      <c r="H38" s="369">
        <v>0.72569751120049986</v>
      </c>
      <c r="I38" s="370">
        <v>0.81193591197413084</v>
      </c>
    </row>
    <row r="39" spans="1:9">
      <c r="A39" s="107">
        <v>2</v>
      </c>
      <c r="B39" s="17" t="s">
        <v>18</v>
      </c>
      <c r="C39" s="14">
        <v>494819</v>
      </c>
      <c r="D39" s="369">
        <v>1.0483395405939719</v>
      </c>
      <c r="E39" s="369">
        <v>1.0901438525629399</v>
      </c>
      <c r="F39" s="369">
        <v>1.0237817934526197</v>
      </c>
      <c r="G39" s="369">
        <v>1.0463000197167818</v>
      </c>
      <c r="H39" s="369">
        <v>1.0797488891866112</v>
      </c>
      <c r="I39" s="370">
        <v>1.0235534880070494</v>
      </c>
    </row>
    <row r="40" spans="1:9">
      <c r="A40" s="107">
        <v>4</v>
      </c>
      <c r="B40" s="17" t="s">
        <v>19</v>
      </c>
      <c r="C40" s="14">
        <v>211261</v>
      </c>
      <c r="D40" s="369">
        <v>1.0544759118676708</v>
      </c>
      <c r="E40" s="369">
        <v>1.1809326587552562</v>
      </c>
      <c r="F40" s="369">
        <v>1.1110810066821595</v>
      </c>
      <c r="G40" s="369">
        <v>1.0261747737167433</v>
      </c>
      <c r="H40" s="369">
        <v>1.1467881496814338</v>
      </c>
      <c r="I40" s="370">
        <v>1.0819534221254408</v>
      </c>
    </row>
    <row r="41" spans="1:9">
      <c r="A41" s="107">
        <v>5</v>
      </c>
      <c r="B41" s="17" t="s">
        <v>20</v>
      </c>
      <c r="C41" s="14">
        <v>169455</v>
      </c>
      <c r="D41" s="369">
        <v>1.0492532703120985</v>
      </c>
      <c r="E41" s="369">
        <v>1.1208278332023311</v>
      </c>
      <c r="F41" s="369">
        <v>1.0112648750090694</v>
      </c>
      <c r="G41" s="369">
        <v>1.0417431460757629</v>
      </c>
      <c r="H41" s="369">
        <v>1.0962260366607817</v>
      </c>
      <c r="I41" s="370">
        <v>1.0015007143653418</v>
      </c>
    </row>
    <row r="42" spans="1:9">
      <c r="A42" s="107">
        <v>6</v>
      </c>
      <c r="B42" s="17" t="s">
        <v>21</v>
      </c>
      <c r="C42" s="14">
        <v>545406</v>
      </c>
      <c r="D42" s="369">
        <v>1.0213001181163404</v>
      </c>
      <c r="E42" s="369">
        <v>0.99451081112390127</v>
      </c>
      <c r="F42" s="369">
        <v>0.96029363015151548</v>
      </c>
      <c r="G42" s="369">
        <v>1.0050771692615617</v>
      </c>
      <c r="H42" s="369">
        <v>0.96615975592534065</v>
      </c>
      <c r="I42" s="370">
        <v>0.94627389091463765</v>
      </c>
    </row>
    <row r="43" spans="1:9">
      <c r="A43" s="107">
        <v>7</v>
      </c>
      <c r="B43" s="17" t="s">
        <v>22</v>
      </c>
      <c r="C43" s="14">
        <v>204635</v>
      </c>
      <c r="D43" s="369">
        <v>1.0573450130702908</v>
      </c>
      <c r="E43" s="369">
        <v>1.1308861446891263</v>
      </c>
      <c r="F43" s="369">
        <v>1.0638769737220446</v>
      </c>
      <c r="G43" s="369">
        <v>1.0739114301847981</v>
      </c>
      <c r="H43" s="369">
        <v>1.1521890047819492</v>
      </c>
      <c r="I43" s="370">
        <v>1.0568617183702305</v>
      </c>
    </row>
    <row r="44" spans="1:9">
      <c r="A44" s="107">
        <v>8</v>
      </c>
      <c r="B44" s="17" t="s">
        <v>23</v>
      </c>
      <c r="C44" s="14">
        <v>157442</v>
      </c>
      <c r="D44" s="369">
        <v>1.1384653986515851</v>
      </c>
      <c r="E44" s="369">
        <v>1.416258454055368</v>
      </c>
      <c r="F44" s="369">
        <v>1.1564403259479279</v>
      </c>
      <c r="G44" s="369">
        <v>1.1119966276966418</v>
      </c>
      <c r="H44" s="369">
        <v>1.3875884301987593</v>
      </c>
      <c r="I44" s="370">
        <v>1.1433077776999201</v>
      </c>
    </row>
    <row r="45" spans="1:9">
      <c r="A45" s="107">
        <v>9</v>
      </c>
      <c r="B45" s="17" t="s">
        <v>24</v>
      </c>
      <c r="C45" s="14">
        <v>125083</v>
      </c>
      <c r="D45" s="369">
        <v>1.0164418770448733</v>
      </c>
      <c r="E45" s="369">
        <v>1.1877830566158472</v>
      </c>
      <c r="F45" s="369">
        <v>0.97743378408444814</v>
      </c>
      <c r="G45" s="369">
        <v>0.98883263946034083</v>
      </c>
      <c r="H45" s="369">
        <v>1.1382757447421763</v>
      </c>
      <c r="I45" s="370">
        <v>0.94190952291754382</v>
      </c>
    </row>
    <row r="46" spans="1:9">
      <c r="A46" s="107">
        <v>10</v>
      </c>
      <c r="B46" s="17" t="s">
        <v>25</v>
      </c>
      <c r="C46" s="14">
        <v>129376</v>
      </c>
      <c r="D46" s="369">
        <v>1.1396786317322491</v>
      </c>
      <c r="E46" s="369">
        <v>1.4750973511486627</v>
      </c>
      <c r="F46" s="369">
        <v>1.1956489209106902</v>
      </c>
      <c r="G46" s="369">
        <v>1.1707296529891167</v>
      </c>
      <c r="H46" s="369">
        <v>1.4818099289987885</v>
      </c>
      <c r="I46" s="370">
        <v>1.204428185817854</v>
      </c>
    </row>
    <row r="47" spans="1:9">
      <c r="A47" s="107">
        <v>11</v>
      </c>
      <c r="B47" s="17" t="s">
        <v>26</v>
      </c>
      <c r="C47" s="14">
        <v>248815</v>
      </c>
      <c r="D47" s="369">
        <v>1.1002037396699853</v>
      </c>
      <c r="E47" s="369">
        <v>1.2149130539413637</v>
      </c>
      <c r="F47" s="369">
        <v>1.1832653129707686</v>
      </c>
      <c r="G47" s="369">
        <v>1.080541527439937</v>
      </c>
      <c r="H47" s="369">
        <v>1.1804839703831211</v>
      </c>
      <c r="I47" s="370">
        <v>1.1797716596781209</v>
      </c>
    </row>
    <row r="48" spans="1:9">
      <c r="A48" s="107">
        <v>12</v>
      </c>
      <c r="B48" s="17" t="s">
        <v>27</v>
      </c>
      <c r="C48" s="14">
        <v>162091</v>
      </c>
      <c r="D48" s="369">
        <v>1.1698130770311377</v>
      </c>
      <c r="E48" s="369">
        <v>1.309325861820015</v>
      </c>
      <c r="F48" s="369">
        <v>1.2627908997645836</v>
      </c>
      <c r="G48" s="369">
        <v>1.2143090658381843</v>
      </c>
      <c r="H48" s="369">
        <v>1.341175343322178</v>
      </c>
      <c r="I48" s="370">
        <v>1.279524058989771</v>
      </c>
    </row>
    <row r="49" spans="1:9">
      <c r="A49" s="107">
        <v>13</v>
      </c>
      <c r="B49" s="17" t="s">
        <v>28</v>
      </c>
      <c r="C49" s="14">
        <v>274112</v>
      </c>
      <c r="D49" s="369">
        <v>0.97043312652258262</v>
      </c>
      <c r="E49" s="369">
        <v>1.0133199023131423</v>
      </c>
      <c r="F49" s="369">
        <v>1.0169666177877283</v>
      </c>
      <c r="G49" s="369">
        <v>0.96946691876101065</v>
      </c>
      <c r="H49" s="369">
        <v>1.0128826713373202</v>
      </c>
      <c r="I49" s="370">
        <v>1.0219867108084175</v>
      </c>
    </row>
    <row r="50" spans="1:9">
      <c r="A50" s="107">
        <v>14</v>
      </c>
      <c r="B50" s="17" t="s">
        <v>29</v>
      </c>
      <c r="C50" s="14">
        <v>189929</v>
      </c>
      <c r="D50" s="369">
        <v>1.0725562056474982</v>
      </c>
      <c r="E50" s="369">
        <v>1.2642767910890969</v>
      </c>
      <c r="F50" s="369">
        <v>1.0720867323913625</v>
      </c>
      <c r="G50" s="369">
        <v>1.1138120776493103</v>
      </c>
      <c r="H50" s="369">
        <v>1.2873085069093269</v>
      </c>
      <c r="I50" s="370">
        <v>1.1151846630844904</v>
      </c>
    </row>
    <row r="51" spans="1:9">
      <c r="A51" s="107">
        <v>15</v>
      </c>
      <c r="B51" s="17" t="s">
        <v>30</v>
      </c>
      <c r="C51" s="14">
        <v>178749</v>
      </c>
      <c r="D51" s="369">
        <v>0.95088694595990719</v>
      </c>
      <c r="E51" s="369">
        <v>0.95661155847960799</v>
      </c>
      <c r="F51" s="369">
        <v>0.84429846734273639</v>
      </c>
      <c r="G51" s="369">
        <v>0.93234726975977567</v>
      </c>
      <c r="H51" s="369">
        <v>0.93644467573264101</v>
      </c>
      <c r="I51" s="370">
        <v>0.81594700195725145</v>
      </c>
    </row>
    <row r="52" spans="1:9">
      <c r="A52" s="107">
        <v>16</v>
      </c>
      <c r="B52" s="17" t="s">
        <v>31</v>
      </c>
      <c r="C52" s="14">
        <v>67723</v>
      </c>
      <c r="D52" s="369">
        <v>1.0856138701168554</v>
      </c>
      <c r="E52" s="369">
        <v>1.1995876122545084</v>
      </c>
      <c r="F52" s="369">
        <v>1.182750932340392</v>
      </c>
      <c r="G52" s="369">
        <v>1.0694988622244217</v>
      </c>
      <c r="H52" s="369">
        <v>1.1477605726663285</v>
      </c>
      <c r="I52" s="370">
        <v>1.1857476859284886</v>
      </c>
    </row>
    <row r="53" spans="1:9">
      <c r="A53" s="107">
        <v>17</v>
      </c>
      <c r="B53" s="17" t="s">
        <v>32</v>
      </c>
      <c r="C53" s="14">
        <v>418331</v>
      </c>
      <c r="D53" s="369">
        <v>0.98273028594001377</v>
      </c>
      <c r="E53" s="369">
        <v>0.97928061693777835</v>
      </c>
      <c r="F53" s="369">
        <v>1.1943448110595196</v>
      </c>
      <c r="G53" s="369">
        <v>0.96519660956918163</v>
      </c>
      <c r="H53" s="369">
        <v>0.96740338432020667</v>
      </c>
      <c r="I53" s="370">
        <v>1.2083901809619562</v>
      </c>
    </row>
    <row r="54" spans="1:9">
      <c r="A54" s="107">
        <v>18</v>
      </c>
      <c r="B54" s="17" t="s">
        <v>33</v>
      </c>
      <c r="C54" s="14">
        <v>69639</v>
      </c>
      <c r="D54" s="369">
        <v>1.1354194361113212</v>
      </c>
      <c r="E54" s="369">
        <v>1.4268367441448488</v>
      </c>
      <c r="F54" s="369">
        <v>1.2478566768460739</v>
      </c>
      <c r="G54" s="369">
        <v>1.1384335482462677</v>
      </c>
      <c r="H54" s="369">
        <v>1.4019550693122194</v>
      </c>
      <c r="I54" s="370">
        <v>1.258278991359129</v>
      </c>
    </row>
    <row r="55" spans="1:9">
      <c r="A55" s="226">
        <v>19</v>
      </c>
      <c r="B55" s="227" t="s">
        <v>34</v>
      </c>
      <c r="C55" s="228">
        <v>176151</v>
      </c>
      <c r="D55" s="371">
        <v>1.1208387238132704</v>
      </c>
      <c r="E55" s="371">
        <v>1.2525687845090834</v>
      </c>
      <c r="F55" s="371">
        <v>1.337031765399386</v>
      </c>
      <c r="G55" s="371">
        <v>1.1131992196090499</v>
      </c>
      <c r="H55" s="371">
        <v>1.2287309455202087</v>
      </c>
      <c r="I55" s="372">
        <v>1.3369400879119739</v>
      </c>
    </row>
    <row r="56" spans="1:9" ht="15">
      <c r="A56" s="222"/>
      <c r="B56" s="222"/>
      <c r="C56" s="320">
        <v>5605317</v>
      </c>
      <c r="D56" s="305"/>
      <c r="E56" s="305"/>
      <c r="F56" s="305"/>
      <c r="G56" s="351">
        <v>1</v>
      </c>
      <c r="H56" s="351">
        <v>1</v>
      </c>
      <c r="I56" s="351">
        <v>1</v>
      </c>
    </row>
    <row r="57" spans="1:9">
      <c r="D57" s="147"/>
      <c r="E57" s="147"/>
      <c r="F57" s="147"/>
      <c r="G57" s="147"/>
      <c r="H57" s="147"/>
      <c r="I57" s="147"/>
    </row>
  </sheetData>
  <mergeCells count="1">
    <mergeCell ref="A4:G4"/>
  </mergeCell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Y58"/>
  <sheetViews>
    <sheetView zoomScale="85" zoomScaleNormal="85" workbookViewId="0"/>
  </sheetViews>
  <sheetFormatPr defaultRowHeight="14.25"/>
  <cols>
    <col min="1" max="1" width="20.25" customWidth="1"/>
    <col min="2" max="2" width="25.25" customWidth="1"/>
    <col min="3" max="3" width="19.375" customWidth="1"/>
    <col min="4" max="4" width="23.25" customWidth="1"/>
    <col min="5" max="5" width="22.75" customWidth="1"/>
    <col min="6" max="6" width="20.625" customWidth="1"/>
    <col min="7" max="7" width="17.75" customWidth="1"/>
    <col min="8" max="8" width="18.25" customWidth="1"/>
    <col min="9" max="9" width="20.375" customWidth="1"/>
    <col min="10" max="10" width="18.25" customWidth="1"/>
    <col min="11" max="11" width="17.125" customWidth="1"/>
    <col min="12" max="12" width="18" customWidth="1"/>
    <col min="13" max="13" width="12.625" customWidth="1"/>
    <col min="17" max="17" width="8.875" bestFit="1" customWidth="1"/>
  </cols>
  <sheetData>
    <row r="1" spans="1:14" ht="18">
      <c r="A1" s="184" t="s">
        <v>5</v>
      </c>
      <c r="B1" s="5"/>
      <c r="C1" s="5"/>
      <c r="D1" s="5"/>
      <c r="E1" s="5"/>
      <c r="F1" s="5"/>
      <c r="G1" s="5"/>
      <c r="H1" s="5"/>
      <c r="I1" s="5"/>
      <c r="J1" s="6"/>
      <c r="K1" s="5"/>
      <c r="L1" s="5"/>
      <c r="M1" s="5"/>
      <c r="N1" s="5"/>
    </row>
    <row r="2" spans="1:14">
      <c r="A2" t="str">
        <f>INFO!A2</f>
        <v>VM/HVO 18.12.2025</v>
      </c>
      <c r="B2" s="5"/>
      <c r="C2" s="5"/>
      <c r="D2" s="5"/>
      <c r="E2" s="5"/>
      <c r="F2" s="5"/>
      <c r="G2" s="5"/>
      <c r="H2" s="5"/>
      <c r="I2" s="5"/>
      <c r="J2" s="6"/>
      <c r="K2" s="5"/>
      <c r="L2" s="5"/>
      <c r="M2" s="5"/>
      <c r="N2" s="5"/>
    </row>
    <row r="3" spans="1:14">
      <c r="B3" s="5"/>
      <c r="C3" s="5"/>
      <c r="D3" s="5"/>
      <c r="E3" s="5"/>
      <c r="F3" s="5"/>
      <c r="G3" s="5"/>
      <c r="H3" s="5"/>
      <c r="I3" s="5"/>
      <c r="J3" s="6"/>
      <c r="K3" s="5"/>
      <c r="L3" s="5"/>
      <c r="M3" s="5"/>
      <c r="N3" s="5"/>
    </row>
    <row r="4" spans="1:14" s="3" customFormat="1" ht="17.25" thickBot="1">
      <c r="A4" s="173" t="s">
        <v>245</v>
      </c>
      <c r="B4" s="4"/>
      <c r="C4" s="4"/>
      <c r="D4" s="4"/>
      <c r="E4" s="7"/>
      <c r="F4" s="7"/>
      <c r="G4" s="7"/>
      <c r="H4" s="7"/>
      <c r="I4" s="7"/>
      <c r="J4" s="7"/>
      <c r="K4" s="2"/>
      <c r="L4" s="2"/>
      <c r="M4" s="2"/>
      <c r="N4" s="2"/>
    </row>
    <row r="5" spans="1:14" s="3" customFormat="1" ht="15.75" thickTop="1">
      <c r="A5" s="231" t="s">
        <v>390</v>
      </c>
      <c r="B5" s="4"/>
      <c r="C5" s="7"/>
      <c r="D5" s="7"/>
      <c r="E5" s="7"/>
      <c r="F5" s="7"/>
      <c r="G5" s="7"/>
      <c r="H5" s="7"/>
      <c r="I5" s="7"/>
      <c r="J5" s="7"/>
      <c r="K5" s="2"/>
      <c r="L5" s="2"/>
      <c r="M5" s="2"/>
      <c r="N5" s="2"/>
    </row>
    <row r="6" spans="1:14" s="3" customFormat="1" ht="15">
      <c r="A6" s="506" t="s">
        <v>417</v>
      </c>
      <c r="B6" s="4"/>
      <c r="C6" s="7"/>
      <c r="D6" s="7"/>
      <c r="E6" s="7"/>
      <c r="F6" s="7"/>
      <c r="G6" s="7"/>
      <c r="H6" s="7"/>
      <c r="I6" s="7"/>
      <c r="J6" s="7"/>
      <c r="K6" s="2"/>
      <c r="L6" s="2"/>
      <c r="M6" s="2"/>
      <c r="N6" s="2"/>
    </row>
    <row r="7" spans="1:14" s="3" customFormat="1" ht="62.45" customHeight="1">
      <c r="A7" s="156" t="s">
        <v>6</v>
      </c>
      <c r="B7" s="156" t="s">
        <v>7</v>
      </c>
      <c r="C7" s="11" t="s">
        <v>229</v>
      </c>
      <c r="D7" s="11" t="s">
        <v>8</v>
      </c>
      <c r="E7" s="11" t="s">
        <v>9</v>
      </c>
      <c r="F7" s="11" t="s">
        <v>10</v>
      </c>
      <c r="G7" s="11" t="s">
        <v>11</v>
      </c>
      <c r="H7" s="11" t="s">
        <v>12</v>
      </c>
      <c r="I7" s="11" t="s">
        <v>37</v>
      </c>
      <c r="J7" s="159" t="s">
        <v>13</v>
      </c>
      <c r="K7" s="141"/>
      <c r="L7" s="2"/>
      <c r="M7" s="2"/>
      <c r="N7" s="2"/>
    </row>
    <row r="8" spans="1:14" s="3" customFormat="1">
      <c r="A8" s="157">
        <v>31</v>
      </c>
      <c r="B8" s="13" t="s">
        <v>14</v>
      </c>
      <c r="C8" s="170">
        <v>684018</v>
      </c>
      <c r="D8" s="170">
        <v>36945</v>
      </c>
      <c r="E8" s="170"/>
      <c r="F8" s="170">
        <v>139832</v>
      </c>
      <c r="G8" s="409">
        <v>214.58</v>
      </c>
      <c r="H8" s="409">
        <f>C8/G8</f>
        <v>3187.7062167956005</v>
      </c>
      <c r="I8" s="233">
        <f t="shared" ref="I8:I30" si="0">$H$30/H8</f>
        <v>5.814018167768914E-3</v>
      </c>
      <c r="J8" s="170"/>
      <c r="K8" s="238"/>
      <c r="L8" s="2"/>
      <c r="M8" s="2"/>
      <c r="N8" s="2"/>
    </row>
    <row r="9" spans="1:14" s="3" customFormat="1">
      <c r="A9" s="158">
        <v>32</v>
      </c>
      <c r="B9" s="17" t="s">
        <v>41</v>
      </c>
      <c r="C9" s="171">
        <v>289730</v>
      </c>
      <c r="D9" s="171">
        <v>5791</v>
      </c>
      <c r="E9" s="171"/>
      <c r="F9" s="171">
        <v>78809</v>
      </c>
      <c r="G9" s="410">
        <v>269.02999999999997</v>
      </c>
      <c r="H9" s="410">
        <f t="shared" ref="H9:H29" si="1">C9/G9</f>
        <v>1076.9430918484929</v>
      </c>
      <c r="I9" s="235">
        <f t="shared" si="0"/>
        <v>1.7209249029257766E-2</v>
      </c>
      <c r="J9" s="171"/>
      <c r="K9" s="8"/>
      <c r="L9" s="2"/>
      <c r="M9" s="2"/>
      <c r="N9" s="2"/>
    </row>
    <row r="10" spans="1:14" s="3" customFormat="1">
      <c r="A10" s="158">
        <v>33</v>
      </c>
      <c r="B10" s="17" t="s">
        <v>15</v>
      </c>
      <c r="C10" s="171">
        <v>502067</v>
      </c>
      <c r="D10" s="171">
        <v>56271</v>
      </c>
      <c r="E10" s="171"/>
      <c r="F10" s="171">
        <v>95640</v>
      </c>
      <c r="G10" s="410">
        <v>4252.76</v>
      </c>
      <c r="H10" s="410">
        <f t="shared" si="1"/>
        <v>118.05674432603767</v>
      </c>
      <c r="I10" s="235">
        <f t="shared" si="0"/>
        <v>0.15698706553160433</v>
      </c>
      <c r="J10" s="171"/>
      <c r="K10" s="8"/>
      <c r="L10" s="2"/>
      <c r="M10" s="2"/>
      <c r="N10" s="2"/>
    </row>
    <row r="11" spans="1:14" s="3" customFormat="1">
      <c r="A11" s="158">
        <v>34</v>
      </c>
      <c r="B11" s="17" t="s">
        <v>16</v>
      </c>
      <c r="C11" s="171">
        <v>99415</v>
      </c>
      <c r="D11" s="171">
        <v>27079</v>
      </c>
      <c r="E11" s="171"/>
      <c r="F11" s="171">
        <v>7922</v>
      </c>
      <c r="G11" s="410">
        <v>2702.55</v>
      </c>
      <c r="H11" s="410">
        <f t="shared" si="1"/>
        <v>36.785628388003921</v>
      </c>
      <c r="I11" s="235">
        <f t="shared" si="0"/>
        <v>0.50382126580725783</v>
      </c>
      <c r="J11" s="171"/>
      <c r="K11" s="8"/>
      <c r="L11" s="2"/>
      <c r="M11" s="2"/>
      <c r="N11" s="2"/>
    </row>
    <row r="12" spans="1:14" s="3" customFormat="1">
      <c r="A12" s="158">
        <v>35</v>
      </c>
      <c r="B12" s="17" t="s">
        <v>17</v>
      </c>
      <c r="C12" s="171">
        <v>207070</v>
      </c>
      <c r="D12" s="171"/>
      <c r="E12" s="171"/>
      <c r="F12" s="171">
        <v>17277</v>
      </c>
      <c r="G12" s="410">
        <v>1669.72</v>
      </c>
      <c r="H12" s="410">
        <f t="shared" si="1"/>
        <v>124.01480487746448</v>
      </c>
      <c r="I12" s="235">
        <f t="shared" si="0"/>
        <v>0.14944491406708935</v>
      </c>
      <c r="J12" s="171"/>
      <c r="K12" s="9"/>
      <c r="L12" s="2"/>
      <c r="M12" s="2"/>
      <c r="N12" s="2"/>
    </row>
    <row r="13" spans="1:14" s="3" customFormat="1">
      <c r="A13" s="17">
        <v>2</v>
      </c>
      <c r="B13" s="17" t="s">
        <v>18</v>
      </c>
      <c r="C13" s="171">
        <v>494819</v>
      </c>
      <c r="D13" s="171">
        <v>27561</v>
      </c>
      <c r="E13" s="171"/>
      <c r="F13" s="171">
        <v>54605</v>
      </c>
      <c r="G13" s="410">
        <v>10676.55</v>
      </c>
      <c r="H13" s="410">
        <f t="shared" si="1"/>
        <v>46.346338470760692</v>
      </c>
      <c r="I13" s="235">
        <f t="shared" si="0"/>
        <v>0.39988880393759701</v>
      </c>
      <c r="J13" s="171">
        <v>21871</v>
      </c>
      <c r="K13" s="8"/>
      <c r="L13" s="2"/>
      <c r="M13" s="2"/>
      <c r="N13" s="2"/>
    </row>
    <row r="14" spans="1:14" s="3" customFormat="1">
      <c r="A14" s="17">
        <v>4</v>
      </c>
      <c r="B14" s="17" t="s">
        <v>19</v>
      </c>
      <c r="C14" s="171">
        <v>211261</v>
      </c>
      <c r="D14" s="171"/>
      <c r="E14" s="171"/>
      <c r="F14" s="171">
        <v>12572</v>
      </c>
      <c r="G14" s="410">
        <v>7823.27</v>
      </c>
      <c r="H14" s="410">
        <f t="shared" si="1"/>
        <v>27.004181116080613</v>
      </c>
      <c r="I14" s="235">
        <f t="shared" si="0"/>
        <v>0.68631527015359717</v>
      </c>
      <c r="J14" s="171"/>
      <c r="K14" s="8"/>
      <c r="L14" s="2"/>
      <c r="M14" s="2"/>
      <c r="N14" s="2"/>
    </row>
    <row r="15" spans="1:14" s="3" customFormat="1">
      <c r="A15" s="17">
        <v>5</v>
      </c>
      <c r="B15" s="17" t="s">
        <v>20</v>
      </c>
      <c r="C15" s="171">
        <v>169455</v>
      </c>
      <c r="D15" s="171"/>
      <c r="E15" s="171"/>
      <c r="F15" s="171">
        <v>11117</v>
      </c>
      <c r="G15" s="410">
        <v>5199.66</v>
      </c>
      <c r="H15" s="410">
        <f t="shared" si="1"/>
        <v>32.589630860479339</v>
      </c>
      <c r="I15" s="235">
        <f t="shared" si="0"/>
        <v>0.56868953003191325</v>
      </c>
      <c r="J15" s="171"/>
      <c r="K15" s="8"/>
      <c r="L15" s="2"/>
      <c r="M15" s="2"/>
      <c r="N15" s="2"/>
    </row>
    <row r="16" spans="1:14" s="3" customFormat="1">
      <c r="A16" s="17">
        <v>6</v>
      </c>
      <c r="B16" s="17" t="s">
        <v>21</v>
      </c>
      <c r="C16" s="171">
        <v>545406</v>
      </c>
      <c r="D16" s="171"/>
      <c r="E16" s="171"/>
      <c r="F16" s="171">
        <v>40361</v>
      </c>
      <c r="G16" s="410">
        <v>13249.05</v>
      </c>
      <c r="H16" s="410">
        <f t="shared" si="1"/>
        <v>41.16566848189116</v>
      </c>
      <c r="I16" s="235">
        <f t="shared" si="0"/>
        <v>0.45021452441887094</v>
      </c>
      <c r="J16" s="171"/>
      <c r="K16" s="8"/>
      <c r="L16" s="2"/>
      <c r="M16" s="2"/>
      <c r="N16" s="2"/>
    </row>
    <row r="17" spans="1:14" s="3" customFormat="1">
      <c r="A17" s="17">
        <v>7</v>
      </c>
      <c r="B17" s="17" t="s">
        <v>22</v>
      </c>
      <c r="C17" s="171">
        <v>204635</v>
      </c>
      <c r="D17" s="171"/>
      <c r="E17" s="171"/>
      <c r="F17" s="171">
        <v>15996</v>
      </c>
      <c r="G17" s="410">
        <v>5715.66</v>
      </c>
      <c r="H17" s="410">
        <f t="shared" si="1"/>
        <v>35.802514495263893</v>
      </c>
      <c r="I17" s="235">
        <f t="shared" si="0"/>
        <v>0.5176558719195884</v>
      </c>
      <c r="J17" s="171"/>
      <c r="K17" s="8"/>
      <c r="L17" s="2"/>
      <c r="M17" s="2"/>
      <c r="N17" s="2"/>
    </row>
    <row r="18" spans="1:14" s="3" customFormat="1">
      <c r="A18" s="17">
        <v>8</v>
      </c>
      <c r="B18" s="17" t="s">
        <v>23</v>
      </c>
      <c r="C18" s="171">
        <v>157442</v>
      </c>
      <c r="D18" s="171">
        <v>1163</v>
      </c>
      <c r="E18" s="171"/>
      <c r="F18" s="171">
        <v>12390</v>
      </c>
      <c r="G18" s="410">
        <v>4559.45</v>
      </c>
      <c r="H18" s="410">
        <f t="shared" si="1"/>
        <v>34.530919299476913</v>
      </c>
      <c r="I18" s="235">
        <f t="shared" si="0"/>
        <v>0.53671846084446073</v>
      </c>
      <c r="J18" s="171"/>
      <c r="K18" s="8"/>
      <c r="L18" s="2"/>
      <c r="M18" s="2"/>
      <c r="N18" s="2"/>
    </row>
    <row r="19" spans="1:14" s="3" customFormat="1">
      <c r="A19" s="17">
        <v>9</v>
      </c>
      <c r="B19" s="17" t="s">
        <v>24</v>
      </c>
      <c r="C19" s="171">
        <v>125083</v>
      </c>
      <c r="D19" s="171"/>
      <c r="E19" s="171"/>
      <c r="F19" s="171">
        <v>11799</v>
      </c>
      <c r="G19" s="410">
        <v>5327.34</v>
      </c>
      <c r="H19" s="410">
        <f t="shared" si="1"/>
        <v>23.479447529160893</v>
      </c>
      <c r="I19" s="235">
        <f t="shared" si="0"/>
        <v>0.78934488705245431</v>
      </c>
      <c r="J19" s="171"/>
      <c r="K19" s="8"/>
      <c r="L19" s="2"/>
      <c r="M19" s="2"/>
      <c r="N19" s="2"/>
    </row>
    <row r="20" spans="1:14" s="3" customFormat="1">
      <c r="A20" s="17">
        <v>10</v>
      </c>
      <c r="B20" s="17" t="s">
        <v>25</v>
      </c>
      <c r="C20" s="171">
        <v>129376</v>
      </c>
      <c r="D20" s="171"/>
      <c r="E20" s="171"/>
      <c r="F20" s="171">
        <v>7545</v>
      </c>
      <c r="G20" s="410">
        <v>12652.86</v>
      </c>
      <c r="H20" s="410">
        <f t="shared" si="1"/>
        <v>10.225040030475324</v>
      </c>
      <c r="I20" s="235">
        <f t="shared" si="0"/>
        <v>1.8125485868731592</v>
      </c>
      <c r="J20" s="171">
        <v>5620</v>
      </c>
      <c r="K20" s="8"/>
      <c r="L20" s="2"/>
      <c r="M20" s="2"/>
      <c r="N20" s="2"/>
    </row>
    <row r="21" spans="1:14" s="3" customFormat="1">
      <c r="A21" s="17">
        <v>11</v>
      </c>
      <c r="B21" s="17" t="s">
        <v>26</v>
      </c>
      <c r="C21" s="171">
        <v>248815</v>
      </c>
      <c r="D21" s="171"/>
      <c r="E21" s="171"/>
      <c r="F21" s="171">
        <v>13079</v>
      </c>
      <c r="G21" s="410">
        <v>17346.16</v>
      </c>
      <c r="H21" s="410">
        <f t="shared" si="1"/>
        <v>14.344096906750543</v>
      </c>
      <c r="I21" s="235">
        <f t="shared" si="0"/>
        <v>1.2920563754165277</v>
      </c>
      <c r="J21" s="171"/>
      <c r="K21" s="8"/>
      <c r="L21" s="2"/>
      <c r="M21" s="2"/>
      <c r="N21" s="2"/>
    </row>
    <row r="22" spans="1:14" s="3" customFormat="1">
      <c r="A22" s="17">
        <v>12</v>
      </c>
      <c r="B22" s="17" t="s">
        <v>27</v>
      </c>
      <c r="C22" s="171">
        <v>162091</v>
      </c>
      <c r="D22" s="171"/>
      <c r="E22" s="171"/>
      <c r="F22" s="171">
        <v>10668</v>
      </c>
      <c r="G22" s="410">
        <v>18794.02</v>
      </c>
      <c r="H22" s="410">
        <f t="shared" si="1"/>
        <v>8.6246050605458535</v>
      </c>
      <c r="I22" s="235">
        <f t="shared" si="0"/>
        <v>2.1488962947117893</v>
      </c>
      <c r="J22" s="171"/>
      <c r="K22" s="8"/>
      <c r="L22" s="2"/>
      <c r="M22" s="2"/>
      <c r="N22" s="2"/>
    </row>
    <row r="23" spans="1:14" s="3" customFormat="1">
      <c r="A23" s="17">
        <v>13</v>
      </c>
      <c r="B23" s="17" t="s">
        <v>28</v>
      </c>
      <c r="C23" s="171">
        <v>274112</v>
      </c>
      <c r="D23" s="171"/>
      <c r="E23" s="171"/>
      <c r="F23" s="171">
        <v>15016</v>
      </c>
      <c r="G23" s="410">
        <v>16042.63</v>
      </c>
      <c r="H23" s="410">
        <f t="shared" si="1"/>
        <v>17.086475222578841</v>
      </c>
      <c r="I23" s="235">
        <f t="shared" si="0"/>
        <v>1.0846813995591487</v>
      </c>
      <c r="J23" s="171"/>
      <c r="K23" s="8"/>
      <c r="L23" s="2"/>
      <c r="M23" s="2"/>
      <c r="N23" s="2"/>
    </row>
    <row r="24" spans="1:14" s="3" customFormat="1">
      <c r="A24" s="17">
        <v>14</v>
      </c>
      <c r="B24" s="17" t="s">
        <v>29</v>
      </c>
      <c r="C24" s="171">
        <v>189929</v>
      </c>
      <c r="D24" s="171"/>
      <c r="E24" s="171"/>
      <c r="F24" s="171">
        <v>8229</v>
      </c>
      <c r="G24" s="410">
        <v>13798.61</v>
      </c>
      <c r="H24" s="410">
        <f t="shared" si="1"/>
        <v>13.76435742440724</v>
      </c>
      <c r="I24" s="235">
        <f t="shared" si="0"/>
        <v>1.3464763582131165</v>
      </c>
      <c r="J24" s="171"/>
      <c r="K24" s="8"/>
      <c r="L24" s="2"/>
      <c r="M24" s="2"/>
      <c r="N24" s="2"/>
    </row>
    <row r="25" spans="1:14" s="3" customFormat="1">
      <c r="A25" s="17">
        <v>15</v>
      </c>
      <c r="B25" s="17" t="s">
        <v>30</v>
      </c>
      <c r="C25" s="171">
        <v>178749</v>
      </c>
      <c r="D25" s="171">
        <v>88370</v>
      </c>
      <c r="E25" s="171"/>
      <c r="F25" s="171">
        <v>19104</v>
      </c>
      <c r="G25" s="410">
        <v>7403.06</v>
      </c>
      <c r="H25" s="410">
        <f t="shared" si="1"/>
        <v>24.14528586827609</v>
      </c>
      <c r="I25" s="235">
        <f t="shared" si="0"/>
        <v>0.7675776530072107</v>
      </c>
      <c r="J25" s="171">
        <v>5373</v>
      </c>
      <c r="K25" s="8"/>
      <c r="L25" s="2"/>
      <c r="M25" s="2"/>
      <c r="N25" s="2"/>
    </row>
    <row r="26" spans="1:14" s="3" customFormat="1">
      <c r="A26" s="17">
        <v>16</v>
      </c>
      <c r="B26" s="17" t="s">
        <v>31</v>
      </c>
      <c r="C26" s="171">
        <v>67723</v>
      </c>
      <c r="D26" s="171">
        <v>5901</v>
      </c>
      <c r="E26" s="171"/>
      <c r="F26" s="171">
        <v>3285</v>
      </c>
      <c r="G26" s="410">
        <v>5020.51</v>
      </c>
      <c r="H26" s="410">
        <f t="shared" si="1"/>
        <v>13.489267026656654</v>
      </c>
      <c r="I26" s="235">
        <f t="shared" si="0"/>
        <v>1.37393542742797</v>
      </c>
      <c r="J26" s="171"/>
      <c r="K26" s="8"/>
      <c r="L26" s="2"/>
      <c r="M26" s="2"/>
      <c r="N26" s="2"/>
    </row>
    <row r="27" spans="1:14" s="3" customFormat="1">
      <c r="A27" s="17">
        <v>17</v>
      </c>
      <c r="B27" s="17" t="s">
        <v>32</v>
      </c>
      <c r="C27" s="171">
        <v>418331</v>
      </c>
      <c r="D27" s="171"/>
      <c r="E27" s="171"/>
      <c r="F27" s="171">
        <v>19335</v>
      </c>
      <c r="G27" s="410">
        <v>36832.47</v>
      </c>
      <c r="H27" s="410">
        <f t="shared" si="1"/>
        <v>11.35766892635764</v>
      </c>
      <c r="I27" s="235">
        <f t="shared" si="0"/>
        <v>1.6317945150654358</v>
      </c>
      <c r="J27" s="171">
        <v>912</v>
      </c>
      <c r="K27" s="8"/>
      <c r="L27" s="2"/>
      <c r="M27" s="2"/>
      <c r="N27" s="2"/>
    </row>
    <row r="28" spans="1:14" s="3" customFormat="1">
      <c r="A28" s="17">
        <v>18</v>
      </c>
      <c r="B28" s="17" t="s">
        <v>33</v>
      </c>
      <c r="C28" s="171">
        <v>69639</v>
      </c>
      <c r="D28" s="171"/>
      <c r="E28" s="171"/>
      <c r="F28" s="171">
        <v>4082</v>
      </c>
      <c r="G28" s="410">
        <v>20198.830000000002</v>
      </c>
      <c r="H28" s="410">
        <f t="shared" si="1"/>
        <v>3.4476749395880848</v>
      </c>
      <c r="I28" s="235">
        <f t="shared" si="0"/>
        <v>5.3756175343415151</v>
      </c>
      <c r="J28" s="171"/>
      <c r="K28" s="8"/>
      <c r="L28" s="2"/>
      <c r="M28" s="2"/>
      <c r="N28" s="2"/>
    </row>
    <row r="29" spans="1:14" s="3" customFormat="1">
      <c r="A29" s="17">
        <v>19</v>
      </c>
      <c r="B29" s="17" t="s">
        <v>34</v>
      </c>
      <c r="C29" s="171">
        <v>176151</v>
      </c>
      <c r="D29" s="171"/>
      <c r="E29" s="171">
        <v>1587</v>
      </c>
      <c r="F29" s="171">
        <v>8341</v>
      </c>
      <c r="G29" s="410">
        <v>92695.6</v>
      </c>
      <c r="H29" s="410">
        <f t="shared" si="1"/>
        <v>1.9003167356379373</v>
      </c>
      <c r="I29" s="235">
        <f t="shared" si="0"/>
        <v>9.7527856858756063</v>
      </c>
      <c r="J29" s="171"/>
      <c r="K29" s="8"/>
      <c r="L29" s="2"/>
      <c r="M29" s="2"/>
      <c r="N29" s="2"/>
    </row>
    <row r="30" spans="1:14" s="3" customFormat="1" ht="15">
      <c r="A30" s="17"/>
      <c r="B30" s="19" t="s">
        <v>35</v>
      </c>
      <c r="C30" s="172">
        <v>5605317</v>
      </c>
      <c r="D30" s="172">
        <v>249081</v>
      </c>
      <c r="E30" s="172">
        <v>1587</v>
      </c>
      <c r="F30" s="172">
        <v>607004</v>
      </c>
      <c r="G30" s="411">
        <v>302444.37</v>
      </c>
      <c r="H30" s="411">
        <f t="shared" ref="H30" si="2">C30/G30</f>
        <v>18.533381857959533</v>
      </c>
      <c r="I30" s="236">
        <f t="shared" si="0"/>
        <v>1</v>
      </c>
      <c r="J30" s="172">
        <v>33776</v>
      </c>
      <c r="K30" s="8"/>
      <c r="L30" s="8"/>
      <c r="M30" s="8"/>
      <c r="N30" s="8"/>
    </row>
    <row r="31" spans="1:14" s="3" customFormat="1">
      <c r="A31" s="111"/>
      <c r="B31" s="111"/>
      <c r="C31" s="112"/>
      <c r="D31" s="111"/>
      <c r="E31" s="111"/>
      <c r="F31" s="111"/>
      <c r="G31" s="111"/>
      <c r="H31" s="113"/>
      <c r="I31" s="112"/>
      <c r="J31" s="302"/>
      <c r="K31" s="8"/>
      <c r="L31" s="8"/>
      <c r="M31"/>
      <c r="N31" s="8"/>
    </row>
    <row r="32" spans="1:14" s="3" customFormat="1" ht="17.25" thickBot="1">
      <c r="A32" s="424" t="s">
        <v>389</v>
      </c>
      <c r="B32" s="115"/>
      <c r="C32" s="116"/>
      <c r="D32" s="115"/>
      <c r="E32" s="115"/>
      <c r="F32" s="119"/>
      <c r="G32" s="115"/>
      <c r="H32" s="117"/>
      <c r="I32" s="116"/>
      <c r="J32" s="118"/>
      <c r="K32" s="114"/>
      <c r="L32" s="114"/>
      <c r="M32"/>
      <c r="N32" s="2"/>
    </row>
    <row r="33" spans="1:23" s="3" customFormat="1" ht="15.75" thickTop="1">
      <c r="A33" s="249" t="s">
        <v>431</v>
      </c>
      <c r="B33" s="115"/>
      <c r="C33" s="116"/>
      <c r="D33" s="115"/>
      <c r="E33" s="115"/>
      <c r="F33" s="115"/>
      <c r="G33" s="115"/>
      <c r="H33" s="117"/>
      <c r="I33" s="116"/>
      <c r="J33" s="118"/>
      <c r="K33" s="114"/>
      <c r="L33" s="114"/>
      <c r="M33"/>
      <c r="N33" s="2"/>
    </row>
    <row r="34" spans="1:23" s="3" customFormat="1" ht="23.45" customHeight="1">
      <c r="A34" s="156" t="s">
        <v>6</v>
      </c>
      <c r="B34" s="156" t="s">
        <v>7</v>
      </c>
      <c r="C34" s="404" t="s">
        <v>229</v>
      </c>
      <c r="D34" s="404" t="s">
        <v>195</v>
      </c>
      <c r="E34" s="405" t="s">
        <v>12</v>
      </c>
      <c r="F34" s="404" t="s">
        <v>37</v>
      </c>
      <c r="G34" s="404" t="s">
        <v>433</v>
      </c>
      <c r="H34" s="404" t="s">
        <v>434</v>
      </c>
      <c r="I34" s="404" t="s">
        <v>435</v>
      </c>
      <c r="J34" s="404" t="s">
        <v>38</v>
      </c>
      <c r="K34" s="404" t="s">
        <v>39</v>
      </c>
      <c r="L34" s="404" t="s">
        <v>40</v>
      </c>
      <c r="M34"/>
      <c r="O34"/>
      <c r="P34"/>
      <c r="Q34"/>
      <c r="R34"/>
      <c r="S34"/>
      <c r="T34"/>
      <c r="U34"/>
      <c r="V34"/>
      <c r="W34"/>
    </row>
    <row r="35" spans="1:23" s="3" customFormat="1">
      <c r="A35" s="12">
        <v>31</v>
      </c>
      <c r="B35" s="13" t="s">
        <v>14</v>
      </c>
      <c r="C35" s="110">
        <f t="shared" ref="C35:C57" si="3">C8</f>
        <v>684018</v>
      </c>
      <c r="D35" s="170">
        <v>715.47</v>
      </c>
      <c r="E35" s="148">
        <f t="shared" ref="E35:E57" si="4">C35/D35</f>
        <v>956.04008553817766</v>
      </c>
      <c r="F35" s="149">
        <f t="shared" ref="F35:F57" si="5">$E$57/E35</f>
        <v>1.5527929174700713E-2</v>
      </c>
      <c r="G35" s="232">
        <v>120</v>
      </c>
      <c r="H35" s="232">
        <v>59</v>
      </c>
      <c r="I35" s="232">
        <v>21</v>
      </c>
      <c r="J35" s="232">
        <f>SUM(G35:I35)</f>
        <v>200</v>
      </c>
      <c r="K35" s="406">
        <f t="shared" ref="K35:K57" si="6">J35/C35</f>
        <v>2.9238996634591485E-4</v>
      </c>
      <c r="L35" s="154">
        <f t="shared" ref="L35:L57" si="7">K35/$K$57</f>
        <v>0.40120892264092639</v>
      </c>
      <c r="M35"/>
      <c r="O35"/>
      <c r="P35"/>
      <c r="Q35"/>
      <c r="R35"/>
      <c r="S35"/>
      <c r="T35"/>
      <c r="U35"/>
      <c r="V35"/>
      <c r="W35"/>
    </row>
    <row r="36" spans="1:23" s="3" customFormat="1">
      <c r="A36" s="16">
        <v>32</v>
      </c>
      <c r="B36" s="17" t="s">
        <v>41</v>
      </c>
      <c r="C36" s="14">
        <f t="shared" si="3"/>
        <v>289730</v>
      </c>
      <c r="D36" s="171">
        <v>271.13</v>
      </c>
      <c r="E36" s="150">
        <f t="shared" si="4"/>
        <v>1068.6017777449931</v>
      </c>
      <c r="F36" s="151">
        <f t="shared" si="5"/>
        <v>1.3892287141556922E-2</v>
      </c>
      <c r="G36" s="234">
        <v>44</v>
      </c>
      <c r="H36" s="234">
        <v>106</v>
      </c>
      <c r="I36" s="234">
        <v>6</v>
      </c>
      <c r="J36" s="234">
        <f t="shared" ref="J36:J56" si="8">SUM(G36:I36)</f>
        <v>156</v>
      </c>
      <c r="K36" s="407">
        <f t="shared" si="6"/>
        <v>5.3843233355192765E-4</v>
      </c>
      <c r="L36" s="155">
        <f t="shared" si="7"/>
        <v>0.7388210312382596</v>
      </c>
      <c r="M36" s="2"/>
      <c r="O36"/>
      <c r="P36"/>
      <c r="Q36"/>
      <c r="R36"/>
      <c r="S36"/>
      <c r="T36"/>
      <c r="U36"/>
      <c r="V36"/>
      <c r="W36"/>
    </row>
    <row r="37" spans="1:23" s="3" customFormat="1">
      <c r="A37" s="16">
        <v>33</v>
      </c>
      <c r="B37" s="17" t="s">
        <v>15</v>
      </c>
      <c r="C37" s="14">
        <f t="shared" si="3"/>
        <v>502067</v>
      </c>
      <c r="D37" s="171">
        <v>7857.52</v>
      </c>
      <c r="E37" s="150">
        <f t="shared" si="4"/>
        <v>63.896369337908141</v>
      </c>
      <c r="F37" s="151">
        <f t="shared" si="5"/>
        <v>0.23233437032867954</v>
      </c>
      <c r="G37" s="234">
        <v>57</v>
      </c>
      <c r="H37" s="234">
        <v>213</v>
      </c>
      <c r="I37" s="234">
        <v>26</v>
      </c>
      <c r="J37" s="234">
        <f t="shared" si="8"/>
        <v>296</v>
      </c>
      <c r="K37" s="407">
        <f t="shared" si="6"/>
        <v>5.8956274760141574E-4</v>
      </c>
      <c r="L37" s="155">
        <f t="shared" si="7"/>
        <v>0.80898068340193996</v>
      </c>
      <c r="M37" s="2"/>
      <c r="O37"/>
      <c r="P37"/>
      <c r="Q37"/>
      <c r="R37"/>
      <c r="S37"/>
      <c r="T37"/>
      <c r="U37"/>
      <c r="V37"/>
      <c r="W37"/>
    </row>
    <row r="38" spans="1:23" s="3" customFormat="1">
      <c r="A38" s="16">
        <v>34</v>
      </c>
      <c r="B38" s="17" t="s">
        <v>16</v>
      </c>
      <c r="C38" s="14">
        <f t="shared" si="3"/>
        <v>99415</v>
      </c>
      <c r="D38" s="171">
        <v>5499.58</v>
      </c>
      <c r="E38" s="150">
        <f t="shared" si="4"/>
        <v>18.076834958305906</v>
      </c>
      <c r="F38" s="151">
        <f t="shared" si="5"/>
        <v>0.8212346226898829</v>
      </c>
      <c r="G38" s="234">
        <v>5</v>
      </c>
      <c r="H38" s="234">
        <v>55</v>
      </c>
      <c r="I38" s="234">
        <v>24</v>
      </c>
      <c r="J38" s="234">
        <f t="shared" si="8"/>
        <v>84</v>
      </c>
      <c r="K38" s="407">
        <f t="shared" si="6"/>
        <v>8.4494291605894485E-4</v>
      </c>
      <c r="L38" s="155">
        <f t="shared" si="7"/>
        <v>1.1594058485715486</v>
      </c>
      <c r="M38" s="2"/>
      <c r="O38"/>
      <c r="P38"/>
      <c r="Q38"/>
      <c r="R38"/>
      <c r="S38"/>
      <c r="T38"/>
      <c r="U38"/>
      <c r="V38"/>
      <c r="W38"/>
    </row>
    <row r="39" spans="1:23" s="3" customFormat="1">
      <c r="A39" s="16">
        <v>35</v>
      </c>
      <c r="B39" s="17" t="s">
        <v>17</v>
      </c>
      <c r="C39" s="14">
        <f t="shared" si="3"/>
        <v>207070</v>
      </c>
      <c r="D39" s="171">
        <v>1715.62</v>
      </c>
      <c r="E39" s="150">
        <f t="shared" si="4"/>
        <v>120.69689091990068</v>
      </c>
      <c r="F39" s="151">
        <f t="shared" si="5"/>
        <v>0.12299672860888844</v>
      </c>
      <c r="G39" s="234">
        <v>18</v>
      </c>
      <c r="H39" s="234">
        <v>127</v>
      </c>
      <c r="I39" s="234">
        <v>4</v>
      </c>
      <c r="J39" s="234">
        <f t="shared" si="8"/>
        <v>149</v>
      </c>
      <c r="K39" s="407">
        <f t="shared" si="6"/>
        <v>7.1956343265562367E-4</v>
      </c>
      <c r="L39" s="155">
        <f t="shared" si="7"/>
        <v>0.98736380456375084</v>
      </c>
      <c r="M39" s="2"/>
      <c r="O39"/>
      <c r="P39"/>
      <c r="Q39"/>
      <c r="R39"/>
      <c r="S39"/>
      <c r="T39"/>
      <c r="U39"/>
      <c r="V39"/>
      <c r="W39"/>
    </row>
    <row r="40" spans="1:23" s="3" customFormat="1">
      <c r="A40" s="17">
        <v>2</v>
      </c>
      <c r="B40" s="17" t="s">
        <v>18</v>
      </c>
      <c r="C40" s="14">
        <f t="shared" si="3"/>
        <v>494819</v>
      </c>
      <c r="D40" s="171">
        <v>20537.689999999995</v>
      </c>
      <c r="E40" s="150">
        <f t="shared" si="4"/>
        <v>24.093215936164199</v>
      </c>
      <c r="F40" s="151">
        <f t="shared" si="5"/>
        <v>0.61616194267070146</v>
      </c>
      <c r="G40" s="234">
        <v>46</v>
      </c>
      <c r="H40" s="234">
        <v>275</v>
      </c>
      <c r="I40" s="234">
        <v>58</v>
      </c>
      <c r="J40" s="234">
        <f t="shared" si="8"/>
        <v>379</v>
      </c>
      <c r="K40" s="407">
        <f t="shared" si="6"/>
        <v>7.659366354161825E-4</v>
      </c>
      <c r="L40" s="155">
        <f t="shared" si="7"/>
        <v>1.0509957511434833</v>
      </c>
      <c r="M40" s="2"/>
      <c r="O40"/>
      <c r="P40"/>
      <c r="Q40"/>
      <c r="R40"/>
      <c r="S40"/>
      <c r="T40"/>
      <c r="U40"/>
      <c r="V40"/>
      <c r="W40"/>
    </row>
    <row r="41" spans="1:23" s="3" customFormat="1">
      <c r="A41" s="17">
        <v>4</v>
      </c>
      <c r="B41" s="17" t="s">
        <v>19</v>
      </c>
      <c r="C41" s="14">
        <f t="shared" si="3"/>
        <v>211261</v>
      </c>
      <c r="D41" s="171">
        <v>11493.019999999999</v>
      </c>
      <c r="E41" s="150">
        <f t="shared" si="4"/>
        <v>18.38167861884866</v>
      </c>
      <c r="F41" s="151">
        <f t="shared" si="5"/>
        <v>0.80761518271727217</v>
      </c>
      <c r="G41" s="234">
        <v>16</v>
      </c>
      <c r="H41" s="234">
        <v>179</v>
      </c>
      <c r="I41" s="234">
        <v>35</v>
      </c>
      <c r="J41" s="234">
        <f t="shared" si="8"/>
        <v>230</v>
      </c>
      <c r="K41" s="407">
        <f t="shared" si="6"/>
        <v>1.0887007067087631E-3</v>
      </c>
      <c r="L41" s="155">
        <f t="shared" si="7"/>
        <v>1.4938831283296556</v>
      </c>
      <c r="M41" s="2"/>
      <c r="O41"/>
      <c r="P41"/>
      <c r="Q41"/>
      <c r="R41"/>
      <c r="S41"/>
      <c r="T41"/>
      <c r="U41"/>
      <c r="V41"/>
      <c r="W41"/>
    </row>
    <row r="42" spans="1:23" s="3" customFormat="1">
      <c r="A42" s="17">
        <v>5</v>
      </c>
      <c r="B42" s="17" t="s">
        <v>20</v>
      </c>
      <c r="C42" s="14">
        <f t="shared" si="3"/>
        <v>169455</v>
      </c>
      <c r="D42" s="171">
        <v>5707.65</v>
      </c>
      <c r="E42" s="150">
        <f t="shared" si="4"/>
        <v>29.68910146908097</v>
      </c>
      <c r="F42" s="151">
        <f t="shared" si="5"/>
        <v>0.50002600287084986</v>
      </c>
      <c r="G42" s="234">
        <v>12</v>
      </c>
      <c r="H42" s="234">
        <v>115</v>
      </c>
      <c r="I42" s="234">
        <v>6</v>
      </c>
      <c r="J42" s="234">
        <f t="shared" si="8"/>
        <v>133</v>
      </c>
      <c r="K42" s="407">
        <f t="shared" si="6"/>
        <v>7.8486913929951907E-4</v>
      </c>
      <c r="L42" s="155">
        <f t="shared" si="7"/>
        <v>1.076974376815413</v>
      </c>
      <c r="M42" s="2"/>
      <c r="O42"/>
      <c r="P42"/>
      <c r="Q42"/>
      <c r="R42"/>
      <c r="S42"/>
      <c r="T42"/>
      <c r="U42"/>
      <c r="V42"/>
      <c r="W42"/>
    </row>
    <row r="43" spans="1:23" s="3" customFormat="1">
      <c r="A43" s="17">
        <v>6</v>
      </c>
      <c r="B43" s="17" t="s">
        <v>21</v>
      </c>
      <c r="C43" s="14">
        <f t="shared" si="3"/>
        <v>545406</v>
      </c>
      <c r="D43" s="171">
        <v>15549.550000000003</v>
      </c>
      <c r="E43" s="150">
        <f t="shared" si="4"/>
        <v>35.075355878465928</v>
      </c>
      <c r="F43" s="151">
        <f t="shared" si="5"/>
        <v>0.42324083005315233</v>
      </c>
      <c r="G43" s="234">
        <v>47</v>
      </c>
      <c r="H43" s="234">
        <v>281</v>
      </c>
      <c r="I43" s="234">
        <v>14</v>
      </c>
      <c r="J43" s="234">
        <f t="shared" si="8"/>
        <v>342</v>
      </c>
      <c r="K43" s="407">
        <f t="shared" si="6"/>
        <v>6.2705580796690904E-4</v>
      </c>
      <c r="L43" s="155">
        <f t="shared" si="7"/>
        <v>0.86042755944813964</v>
      </c>
      <c r="M43" s="2"/>
      <c r="O43"/>
      <c r="P43"/>
      <c r="Q43"/>
      <c r="R43"/>
      <c r="S43"/>
      <c r="T43"/>
      <c r="U43"/>
      <c r="V43"/>
      <c r="W43"/>
    </row>
    <row r="44" spans="1:23" s="3" customFormat="1">
      <c r="A44" s="17">
        <v>7</v>
      </c>
      <c r="B44" s="17" t="s">
        <v>22</v>
      </c>
      <c r="C44" s="14">
        <f t="shared" si="3"/>
        <v>204635</v>
      </c>
      <c r="D44" s="171">
        <v>6941.6900000000005</v>
      </c>
      <c r="E44" s="150">
        <f t="shared" si="4"/>
        <v>29.479132603155712</v>
      </c>
      <c r="F44" s="151">
        <f t="shared" si="5"/>
        <v>0.50358750158145626</v>
      </c>
      <c r="G44" s="234">
        <v>16</v>
      </c>
      <c r="H44" s="234">
        <v>142</v>
      </c>
      <c r="I44" s="234">
        <v>4</v>
      </c>
      <c r="J44" s="234">
        <f t="shared" si="8"/>
        <v>162</v>
      </c>
      <c r="K44" s="407">
        <f t="shared" si="6"/>
        <v>7.9165343171989152E-4</v>
      </c>
      <c r="L44" s="155">
        <f t="shared" si="7"/>
        <v>1.0862835835808682</v>
      </c>
      <c r="M44" s="2"/>
      <c r="O44"/>
      <c r="P44"/>
      <c r="Q44"/>
      <c r="R44"/>
      <c r="S44"/>
      <c r="T44"/>
      <c r="U44"/>
      <c r="V44"/>
      <c r="W44"/>
    </row>
    <row r="45" spans="1:23" s="3" customFormat="1">
      <c r="A45" s="17">
        <v>8</v>
      </c>
      <c r="B45" s="17" t="s">
        <v>23</v>
      </c>
      <c r="C45" s="14">
        <f t="shared" si="3"/>
        <v>157442</v>
      </c>
      <c r="D45" s="171">
        <v>6768.5099999999993</v>
      </c>
      <c r="E45" s="150">
        <f t="shared" si="4"/>
        <v>23.260954035674029</v>
      </c>
      <c r="F45" s="151">
        <f t="shared" si="5"/>
        <v>0.63820781871819143</v>
      </c>
      <c r="G45" s="234">
        <v>12</v>
      </c>
      <c r="H45" s="234">
        <v>132</v>
      </c>
      <c r="I45" s="234">
        <v>34</v>
      </c>
      <c r="J45" s="234">
        <f t="shared" si="8"/>
        <v>178</v>
      </c>
      <c r="K45" s="407">
        <f t="shared" si="6"/>
        <v>1.1305750689142669E-3</v>
      </c>
      <c r="L45" s="155">
        <f t="shared" si="7"/>
        <v>1.5513418980566245</v>
      </c>
      <c r="M45" s="2"/>
      <c r="O45"/>
      <c r="P45"/>
      <c r="Q45"/>
      <c r="R45"/>
      <c r="S45"/>
      <c r="T45"/>
      <c r="U45"/>
      <c r="V45"/>
      <c r="W45"/>
    </row>
    <row r="46" spans="1:23" s="3" customFormat="1">
      <c r="A46" s="17">
        <v>9</v>
      </c>
      <c r="B46" s="17" t="s">
        <v>24</v>
      </c>
      <c r="C46" s="14">
        <f t="shared" si="3"/>
        <v>125083</v>
      </c>
      <c r="D46" s="171">
        <v>6872.119999999999</v>
      </c>
      <c r="E46" s="150">
        <f t="shared" si="4"/>
        <v>18.20151568948156</v>
      </c>
      <c r="F46" s="151">
        <f t="shared" si="5"/>
        <v>0.81560914979133148</v>
      </c>
      <c r="G46" s="234">
        <v>5</v>
      </c>
      <c r="H46" s="234">
        <v>96</v>
      </c>
      <c r="I46" s="234">
        <v>26</v>
      </c>
      <c r="J46" s="234">
        <f t="shared" si="8"/>
        <v>127</v>
      </c>
      <c r="K46" s="407">
        <f t="shared" si="6"/>
        <v>1.0153258236530944E-3</v>
      </c>
      <c r="L46" s="155">
        <f t="shared" si="7"/>
        <v>1.3932002692439882</v>
      </c>
      <c r="M46" s="2"/>
      <c r="O46"/>
      <c r="P46"/>
      <c r="Q46"/>
      <c r="R46"/>
      <c r="S46"/>
      <c r="T46"/>
      <c r="U46"/>
      <c r="V46"/>
      <c r="W46"/>
    </row>
    <row r="47" spans="1:23" s="3" customFormat="1">
      <c r="A47" s="17">
        <v>10</v>
      </c>
      <c r="B47" s="17" t="s">
        <v>25</v>
      </c>
      <c r="C47" s="14">
        <f t="shared" si="3"/>
        <v>129376</v>
      </c>
      <c r="D47" s="171">
        <v>17099.02</v>
      </c>
      <c r="E47" s="150">
        <f t="shared" si="4"/>
        <v>7.5662815763710434</v>
      </c>
      <c r="F47" s="151">
        <f t="shared" si="5"/>
        <v>1.9620367794363505</v>
      </c>
      <c r="G47" s="234">
        <v>9</v>
      </c>
      <c r="H47" s="234">
        <v>98</v>
      </c>
      <c r="I47" s="234">
        <v>28</v>
      </c>
      <c r="J47" s="234">
        <f t="shared" si="8"/>
        <v>135</v>
      </c>
      <c r="K47" s="407">
        <f t="shared" si="6"/>
        <v>1.0434701953994558E-3</v>
      </c>
      <c r="L47" s="155">
        <f t="shared" si="7"/>
        <v>1.431819149391895</v>
      </c>
      <c r="M47" s="2"/>
      <c r="O47"/>
      <c r="P47"/>
      <c r="Q47"/>
      <c r="R47"/>
      <c r="S47"/>
      <c r="T47"/>
      <c r="U47"/>
      <c r="V47"/>
      <c r="W47"/>
    </row>
    <row r="48" spans="1:23" s="3" customFormat="1">
      <c r="A48" s="17">
        <v>11</v>
      </c>
      <c r="B48" s="17" t="s">
        <v>26</v>
      </c>
      <c r="C48" s="14">
        <f t="shared" si="3"/>
        <v>248815</v>
      </c>
      <c r="D48" s="171">
        <v>21077.93</v>
      </c>
      <c r="E48" s="150">
        <f t="shared" si="4"/>
        <v>11.804527294663185</v>
      </c>
      <c r="F48" s="151">
        <f t="shared" si="5"/>
        <v>1.2575956974679698</v>
      </c>
      <c r="G48" s="234">
        <v>20</v>
      </c>
      <c r="H48" s="234">
        <v>135</v>
      </c>
      <c r="I48" s="234">
        <v>30</v>
      </c>
      <c r="J48" s="234">
        <f t="shared" si="8"/>
        <v>185</v>
      </c>
      <c r="K48" s="407">
        <f t="shared" si="6"/>
        <v>7.4352430520667966E-4</v>
      </c>
      <c r="L48" s="155">
        <f t="shared" si="7"/>
        <v>1.0202422100093489</v>
      </c>
      <c r="M48" s="2"/>
      <c r="O48"/>
      <c r="P48"/>
      <c r="Q48"/>
      <c r="R48"/>
      <c r="S48"/>
      <c r="T48"/>
      <c r="U48"/>
      <c r="V48"/>
      <c r="W48"/>
    </row>
    <row r="49" spans="1:25" s="3" customFormat="1">
      <c r="A49" s="17">
        <v>12</v>
      </c>
      <c r="B49" s="17" t="s">
        <v>27</v>
      </c>
      <c r="C49" s="14">
        <f t="shared" si="3"/>
        <v>162091</v>
      </c>
      <c r="D49" s="171">
        <v>22903.200000000001</v>
      </c>
      <c r="E49" s="150">
        <f t="shared" si="4"/>
        <v>7.0772206503894646</v>
      </c>
      <c r="F49" s="151">
        <f t="shared" si="5"/>
        <v>2.0976204459012715</v>
      </c>
      <c r="G49" s="234">
        <v>7</v>
      </c>
      <c r="H49" s="234">
        <v>113</v>
      </c>
      <c r="I49" s="234">
        <v>29</v>
      </c>
      <c r="J49" s="234">
        <f t="shared" si="8"/>
        <v>149</v>
      </c>
      <c r="K49" s="407">
        <f t="shared" si="6"/>
        <v>9.1923672504950918E-4</v>
      </c>
      <c r="L49" s="155">
        <f t="shared" si="7"/>
        <v>1.2613496308309275</v>
      </c>
      <c r="M49" s="2"/>
      <c r="O49"/>
      <c r="P49"/>
      <c r="Q49"/>
      <c r="R49"/>
      <c r="S49"/>
      <c r="T49"/>
      <c r="U49"/>
      <c r="V49"/>
      <c r="W49"/>
    </row>
    <row r="50" spans="1:25" s="3" customFormat="1">
      <c r="A50" s="17">
        <v>13</v>
      </c>
      <c r="B50" s="17" t="s">
        <v>28</v>
      </c>
      <c r="C50" s="14">
        <f t="shared" si="3"/>
        <v>274112</v>
      </c>
      <c r="D50" s="171">
        <v>19012.050000000003</v>
      </c>
      <c r="E50" s="150">
        <f t="shared" si="4"/>
        <v>14.41780344570943</v>
      </c>
      <c r="F50" s="151">
        <f t="shared" si="5"/>
        <v>1.0296521791486504</v>
      </c>
      <c r="G50" s="234">
        <v>19</v>
      </c>
      <c r="H50" s="234">
        <v>163</v>
      </c>
      <c r="I50" s="234">
        <v>23</v>
      </c>
      <c r="J50" s="234">
        <f t="shared" si="8"/>
        <v>205</v>
      </c>
      <c r="K50" s="407">
        <f t="shared" si="6"/>
        <v>7.478694840065375E-4</v>
      </c>
      <c r="L50" s="155">
        <f t="shared" si="7"/>
        <v>1.0262045367155626</v>
      </c>
      <c r="M50" s="2"/>
      <c r="O50"/>
      <c r="P50"/>
      <c r="Q50"/>
      <c r="R50"/>
      <c r="S50"/>
      <c r="T50"/>
      <c r="U50"/>
      <c r="V50"/>
      <c r="W50"/>
    </row>
    <row r="51" spans="1:25" s="3" customFormat="1">
      <c r="A51" s="17">
        <v>14</v>
      </c>
      <c r="B51" s="17" t="s">
        <v>29</v>
      </c>
      <c r="C51" s="14">
        <f t="shared" si="3"/>
        <v>189929</v>
      </c>
      <c r="D51" s="171">
        <v>14355.660000000002</v>
      </c>
      <c r="E51" s="150">
        <f t="shared" si="4"/>
        <v>13.230252039961936</v>
      </c>
      <c r="F51" s="151">
        <f t="shared" si="5"/>
        <v>1.1220740687003832</v>
      </c>
      <c r="G51" s="234">
        <v>6</v>
      </c>
      <c r="H51" s="234">
        <v>167</v>
      </c>
      <c r="I51" s="234">
        <v>14</v>
      </c>
      <c r="J51" s="234">
        <f t="shared" si="8"/>
        <v>187</v>
      </c>
      <c r="K51" s="407">
        <f t="shared" si="6"/>
        <v>9.8457844773573288E-4</v>
      </c>
      <c r="L51" s="155">
        <f t="shared" si="7"/>
        <v>1.3510096232378739</v>
      </c>
      <c r="M51" s="2"/>
      <c r="O51"/>
      <c r="P51"/>
      <c r="Q51"/>
      <c r="R51"/>
      <c r="S51"/>
      <c r="T51"/>
      <c r="U51"/>
      <c r="V51"/>
      <c r="W51"/>
    </row>
    <row r="52" spans="1:25" s="3" customFormat="1">
      <c r="A52" s="17">
        <v>15</v>
      </c>
      <c r="B52" s="17" t="s">
        <v>30</v>
      </c>
      <c r="C52" s="14">
        <f t="shared" si="3"/>
        <v>178749</v>
      </c>
      <c r="D52" s="171">
        <v>17834.04</v>
      </c>
      <c r="E52" s="150">
        <f t="shared" si="4"/>
        <v>10.022911241647995</v>
      </c>
      <c r="F52" s="151">
        <f t="shared" si="5"/>
        <v>1.4811388007433584</v>
      </c>
      <c r="G52" s="234">
        <v>13</v>
      </c>
      <c r="H52" s="234">
        <v>118</v>
      </c>
      <c r="I52" s="234">
        <v>28</v>
      </c>
      <c r="J52" s="234">
        <f t="shared" si="8"/>
        <v>159</v>
      </c>
      <c r="K52" s="407">
        <f t="shared" si="6"/>
        <v>8.8951546582078777E-4</v>
      </c>
      <c r="L52" s="155">
        <f t="shared" si="7"/>
        <v>1.2205669920020026</v>
      </c>
      <c r="M52" s="2"/>
      <c r="O52"/>
      <c r="P52"/>
      <c r="Q52"/>
      <c r="R52"/>
      <c r="S52"/>
      <c r="T52"/>
      <c r="U52"/>
      <c r="V52"/>
      <c r="W52"/>
    </row>
    <row r="53" spans="1:25" s="3" customFormat="1">
      <c r="A53" s="17">
        <v>16</v>
      </c>
      <c r="B53" s="17" t="s">
        <v>31</v>
      </c>
      <c r="C53" s="14">
        <f t="shared" si="3"/>
        <v>67723</v>
      </c>
      <c r="D53" s="171">
        <v>6463.12</v>
      </c>
      <c r="E53" s="150">
        <f t="shared" si="4"/>
        <v>10.47837576897845</v>
      </c>
      <c r="F53" s="151">
        <f t="shared" si="5"/>
        <v>1.4167580036938228</v>
      </c>
      <c r="G53" s="234">
        <v>4</v>
      </c>
      <c r="H53" s="234">
        <v>48</v>
      </c>
      <c r="I53" s="234">
        <v>8</v>
      </c>
      <c r="J53" s="234">
        <f t="shared" si="8"/>
        <v>60</v>
      </c>
      <c r="K53" s="407">
        <f t="shared" si="6"/>
        <v>8.8596193316893817E-4</v>
      </c>
      <c r="L53" s="155">
        <f t="shared" si="7"/>
        <v>1.2156909388848747</v>
      </c>
      <c r="M53" s="2"/>
      <c r="O53"/>
      <c r="P53"/>
      <c r="Q53"/>
      <c r="R53"/>
      <c r="S53"/>
      <c r="T53"/>
      <c r="U53"/>
      <c r="V53"/>
      <c r="W53"/>
    </row>
    <row r="54" spans="1:25" s="3" customFormat="1">
      <c r="A54" s="17">
        <v>17</v>
      </c>
      <c r="B54" s="17" t="s">
        <v>32</v>
      </c>
      <c r="C54" s="14">
        <f t="shared" si="3"/>
        <v>418331</v>
      </c>
      <c r="D54" s="171">
        <v>45852.01</v>
      </c>
      <c r="E54" s="150">
        <f t="shared" si="4"/>
        <v>9.1235040732129296</v>
      </c>
      <c r="F54" s="151">
        <f t="shared" si="5"/>
        <v>1.6271514340633941</v>
      </c>
      <c r="G54" s="234">
        <v>21</v>
      </c>
      <c r="H54" s="234">
        <v>251</v>
      </c>
      <c r="I54" s="234">
        <v>52</v>
      </c>
      <c r="J54" s="234">
        <f t="shared" si="8"/>
        <v>324</v>
      </c>
      <c r="K54" s="407">
        <f t="shared" si="6"/>
        <v>7.7450631198739751E-4</v>
      </c>
      <c r="L54" s="155">
        <f t="shared" si="7"/>
        <v>1.0627548095936996</v>
      </c>
      <c r="M54" s="2"/>
      <c r="O54"/>
      <c r="P54"/>
      <c r="Q54"/>
      <c r="R54"/>
      <c r="S54"/>
      <c r="T54"/>
      <c r="U54"/>
      <c r="V54"/>
      <c r="W54"/>
      <c r="X54"/>
      <c r="Y54"/>
    </row>
    <row r="55" spans="1:25" s="3" customFormat="1">
      <c r="A55" s="17">
        <v>18</v>
      </c>
      <c r="B55" s="17" t="s">
        <v>33</v>
      </c>
      <c r="C55" s="14">
        <f t="shared" si="3"/>
        <v>69639</v>
      </c>
      <c r="D55" s="171">
        <v>22687.890000000003</v>
      </c>
      <c r="E55" s="150">
        <f t="shared" si="4"/>
        <v>3.0694348394672222</v>
      </c>
      <c r="F55" s="151">
        <f t="shared" si="5"/>
        <v>4.8365003698819082</v>
      </c>
      <c r="G55" s="234">
        <v>2</v>
      </c>
      <c r="H55" s="234">
        <v>56</v>
      </c>
      <c r="I55" s="234">
        <v>14</v>
      </c>
      <c r="J55" s="234">
        <f t="shared" si="8"/>
        <v>72</v>
      </c>
      <c r="K55" s="407">
        <f t="shared" si="6"/>
        <v>1.0339034161892043E-3</v>
      </c>
      <c r="L55" s="155">
        <f t="shared" si="7"/>
        <v>1.4186918959910457</v>
      </c>
      <c r="M55" s="2"/>
      <c r="O55"/>
      <c r="P55"/>
      <c r="Q55"/>
      <c r="R55"/>
      <c r="S55"/>
      <c r="T55"/>
      <c r="U55"/>
      <c r="V55"/>
      <c r="W55"/>
      <c r="X55"/>
      <c r="Y55"/>
    </row>
    <row r="56" spans="1:25" s="3" customFormat="1">
      <c r="A56" s="17">
        <v>19</v>
      </c>
      <c r="B56" s="17" t="s">
        <v>34</v>
      </c>
      <c r="C56" s="14">
        <f t="shared" si="3"/>
        <v>176151</v>
      </c>
      <c r="D56" s="171">
        <v>100366.88</v>
      </c>
      <c r="E56" s="150">
        <f t="shared" si="4"/>
        <v>1.7550709955315935</v>
      </c>
      <c r="F56" s="151">
        <f t="shared" si="5"/>
        <v>8.4585311786291211</v>
      </c>
      <c r="G56" s="234">
        <v>6</v>
      </c>
      <c r="H56" s="234">
        <v>114</v>
      </c>
      <c r="I56" s="234">
        <v>53</v>
      </c>
      <c r="J56" s="234">
        <f t="shared" si="8"/>
        <v>173</v>
      </c>
      <c r="K56" s="407">
        <f t="shared" si="6"/>
        <v>9.8211193805314767E-4</v>
      </c>
      <c r="L56" s="155">
        <f t="shared" si="7"/>
        <v>1.3476251511070392</v>
      </c>
      <c r="M56" s="2"/>
      <c r="O56"/>
      <c r="P56"/>
      <c r="Q56"/>
      <c r="R56"/>
      <c r="S56"/>
      <c r="T56"/>
      <c r="U56"/>
      <c r="V56"/>
      <c r="W56"/>
      <c r="X56"/>
      <c r="Y56"/>
    </row>
    <row r="57" spans="1:25" s="3" customFormat="1" ht="15">
      <c r="A57" s="234"/>
      <c r="B57" s="19" t="s">
        <v>35</v>
      </c>
      <c r="C57" s="20">
        <f t="shared" si="3"/>
        <v>5605317</v>
      </c>
      <c r="D57" s="172">
        <v>377581.35000000003</v>
      </c>
      <c r="E57" s="152">
        <f t="shared" si="4"/>
        <v>14.845322736411635</v>
      </c>
      <c r="F57" s="153">
        <f t="shared" si="5"/>
        <v>1</v>
      </c>
      <c r="G57" s="250">
        <v>505</v>
      </c>
      <c r="H57" s="250">
        <v>3043</v>
      </c>
      <c r="I57" s="250">
        <v>537</v>
      </c>
      <c r="J57" s="250">
        <f t="shared" ref="J57" si="9">SUM(J35:J56)</f>
        <v>4085</v>
      </c>
      <c r="K57" s="408">
        <f t="shared" si="6"/>
        <v>7.2877234240275798E-4</v>
      </c>
      <c r="L57" s="412">
        <f t="shared" si="7"/>
        <v>1</v>
      </c>
      <c r="M57" s="2"/>
      <c r="O57"/>
      <c r="P57"/>
      <c r="Q57"/>
      <c r="R57"/>
      <c r="S57"/>
      <c r="T57"/>
      <c r="U57"/>
      <c r="V57"/>
      <c r="W57"/>
      <c r="X57"/>
      <c r="Y57"/>
    </row>
    <row r="58" spans="1:25">
      <c r="C58" s="138"/>
      <c r="D58" s="138"/>
      <c r="G58" s="138"/>
    </row>
  </sheetData>
  <phoneticPr fontId="55" type="noConversion"/>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9b054c47b43b988336b59428b91ae034">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7a2e4d70cbd13f7f364806b21bfa4ec4"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032FE-FA50-4EFC-9769-FF1C6236F926}"/>
</file>

<file path=customXml/itemProps2.xml><?xml version="1.0" encoding="utf-8"?>
<ds:datastoreItem xmlns:ds="http://schemas.openxmlformats.org/officeDocument/2006/customXml" ds:itemID="{D59A30DA-342E-4E69-BE94-5E0DFFB05171}">
  <ds:schemaRefs>
    <ds:schemaRef ds:uri="http://schemas.microsoft.com/office/2006/metadata/properties"/>
    <ds:schemaRef ds:uri="http://schemas.microsoft.com/office/infopath/2007/PartnerControls"/>
    <ds:schemaRef ds:uri="1dc3b7a6-a49d-4f6a-a347-ca058eb755c4"/>
    <ds:schemaRef ds:uri="74a43502-4d8a-4b63-9ac3-2af187c4ae83"/>
  </ds:schemaRefs>
</ds:datastoreItem>
</file>

<file path=customXml/itemProps3.xml><?xml version="1.0" encoding="utf-8"?>
<ds:datastoreItem xmlns:ds="http://schemas.openxmlformats.org/officeDocument/2006/customXml" ds:itemID="{6346DB54-4D28-4264-8533-5819D1EEB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Yhteenveto</vt:lpstr>
      <vt:lpstr>Rahoituksen taso 2026</vt:lpstr>
      <vt:lpstr>Jälkikäteistarkistus 2026</vt:lpstr>
      <vt:lpstr>SOTE laskennallinen rahoitus</vt:lpstr>
      <vt:lpstr>PELA laskennallinen rahoitus</vt:lpstr>
      <vt:lpstr>Hyte-kerroin</vt:lpstr>
      <vt:lpstr>Tarvekertoimet</vt:lpstr>
      <vt:lpstr>Määräytymistekijät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2025</dc:title>
  <dc:creator/>
  <cp:lastModifiedBy>Myllyneva Kaarle (VM)</cp:lastModifiedBy>
  <dcterms:created xsi:type="dcterms:W3CDTF">2020-05-15T09:22:39Z</dcterms:created>
  <dcterms:modified xsi:type="dcterms:W3CDTF">2026-01-19T10:19:35Z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