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govfi.sharepoint.com/sites/VMHVOtiimi/Shared Documents/💰 Talous- ja rahoitusyksikkö/Rahoituslaskelmat/Julkaistut rahoituslaskelmat/2025/JULKAISU 22.9.2025/"/>
    </mc:Choice>
  </mc:AlternateContent>
  <xr:revisionPtr revIDLastSave="1087" documentId="13_ncr:1_{DA3ECA5D-5745-49E0-BB90-DE40BF8D74B6}" xr6:coauthVersionLast="47" xr6:coauthVersionMax="47" xr10:uidLastSave="{4BA3BF32-3768-402B-945B-45B748C1E4A1}"/>
  <bookViews>
    <workbookView xWindow="28680" yWindow="-120" windowWidth="29040" windowHeight="15720" tabRatio="727" xr2:uid="{00000000-000D-0000-FFFF-FFFF00000000}"/>
  </bookViews>
  <sheets>
    <sheet name="INFO" sheetId="29" r:id="rId1"/>
    <sheet name="Yhteenveto" sheetId="31" r:id="rId2"/>
    <sheet name="Rahoituksen taso 2026" sheetId="10" r:id="rId3"/>
    <sheet name="Jälkikäteistarkistus 2026" sheetId="20" r:id="rId4"/>
    <sheet name="SOTE laskennallinen rahoitus" sheetId="28" r:id="rId5"/>
    <sheet name="PELA laskennallinen rahoitus" sheetId="14" r:id="rId6"/>
    <sheet name="Hyte-kerroin" sheetId="30" r:id="rId7"/>
    <sheet name="Tarvekertoimet" sheetId="16" r:id="rId8"/>
    <sheet name="Määräytymistekijät" sheetId="15" r:id="rId9"/>
    <sheet name="Tarvetekijät" sheetId="18" r:id="rId10"/>
  </sheets>
  <definedNames>
    <definedName name="_xlnm._FilterDatabase" localSheetId="4" hidden="1">'SOTE laskennallinen rahoitus'!#REF!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5" i="15" l="1"/>
  <c r="K35" i="15" s="1"/>
  <c r="B36" i="10"/>
  <c r="B37" i="10"/>
  <c r="B32" i="10"/>
  <c r="B21" i="10" l="1"/>
  <c r="B20" i="10"/>
  <c r="B42" i="10"/>
  <c r="B14" i="10" l="1"/>
  <c r="B8" i="14" l="1"/>
  <c r="D42" i="20"/>
  <c r="D32" i="20"/>
  <c r="D17" i="14" l="1"/>
  <c r="C17" i="14"/>
  <c r="C26" i="20"/>
  <c r="C25" i="20"/>
  <c r="C24" i="20"/>
  <c r="D33" i="20"/>
  <c r="B10" i="28" l="1"/>
  <c r="B11" i="28"/>
  <c r="B12" i="28"/>
  <c r="N20" i="28"/>
  <c r="E16" i="14"/>
  <c r="G29" i="30" l="1"/>
  <c r="D7" i="30" l="1"/>
  <c r="E8" i="16" l="1"/>
  <c r="D29" i="16"/>
  <c r="D8" i="16"/>
  <c r="C13" i="20" l="1"/>
  <c r="D9" i="16"/>
  <c r="E9" i="16"/>
  <c r="F9" i="16"/>
  <c r="D10" i="16"/>
  <c r="E10" i="16"/>
  <c r="F10" i="16"/>
  <c r="D11" i="16"/>
  <c r="E11" i="16"/>
  <c r="F11" i="16"/>
  <c r="D12" i="16"/>
  <c r="E12" i="16"/>
  <c r="F12" i="16"/>
  <c r="D13" i="16"/>
  <c r="E13" i="16"/>
  <c r="F13" i="16"/>
  <c r="D14" i="16"/>
  <c r="E14" i="16"/>
  <c r="F14" i="16"/>
  <c r="D15" i="16"/>
  <c r="E15" i="16"/>
  <c r="F15" i="16"/>
  <c r="D16" i="16"/>
  <c r="E16" i="16"/>
  <c r="F16" i="16"/>
  <c r="D17" i="16"/>
  <c r="E17" i="16"/>
  <c r="F17" i="16"/>
  <c r="D18" i="16"/>
  <c r="E18" i="16"/>
  <c r="F18" i="16"/>
  <c r="D19" i="16"/>
  <c r="E19" i="16"/>
  <c r="F19" i="16"/>
  <c r="D20" i="16"/>
  <c r="E20" i="16"/>
  <c r="F20" i="16"/>
  <c r="D21" i="16"/>
  <c r="E21" i="16"/>
  <c r="F21" i="16"/>
  <c r="D22" i="16"/>
  <c r="E22" i="16"/>
  <c r="F22" i="16"/>
  <c r="D23" i="16"/>
  <c r="E23" i="16"/>
  <c r="F23" i="16"/>
  <c r="D24" i="16"/>
  <c r="E24" i="16"/>
  <c r="F24" i="16"/>
  <c r="D25" i="16"/>
  <c r="E25" i="16"/>
  <c r="F25" i="16"/>
  <c r="D26" i="16"/>
  <c r="E26" i="16"/>
  <c r="F26" i="16"/>
  <c r="D27" i="16"/>
  <c r="E27" i="16"/>
  <c r="F27" i="16"/>
  <c r="D28" i="16"/>
  <c r="E28" i="16"/>
  <c r="F28" i="16"/>
  <c r="E29" i="16"/>
  <c r="F29" i="16"/>
  <c r="F8" i="16"/>
  <c r="D43" i="20" l="1"/>
  <c r="A2" i="15" l="1"/>
  <c r="A2" i="16"/>
  <c r="A2" i="30"/>
  <c r="A2" i="14"/>
  <c r="A2" i="28"/>
  <c r="A2" i="20"/>
  <c r="A2" i="10"/>
  <c r="A2" i="31"/>
  <c r="E13" i="20" l="1"/>
  <c r="D8" i="30" l="1"/>
  <c r="E8" i="30"/>
  <c r="D9" i="30"/>
  <c r="E9" i="30"/>
  <c r="D10" i="30"/>
  <c r="E10" i="30"/>
  <c r="D11" i="30"/>
  <c r="E11" i="30"/>
  <c r="D12" i="30"/>
  <c r="E12" i="30"/>
  <c r="D13" i="30"/>
  <c r="E13" i="30"/>
  <c r="D14" i="30"/>
  <c r="E14" i="30"/>
  <c r="D15" i="30"/>
  <c r="E15" i="30"/>
  <c r="D16" i="30"/>
  <c r="E16" i="30"/>
  <c r="D17" i="30"/>
  <c r="E17" i="30"/>
  <c r="D18" i="30"/>
  <c r="E18" i="30"/>
  <c r="D19" i="30"/>
  <c r="E19" i="30"/>
  <c r="D20" i="30"/>
  <c r="E20" i="30"/>
  <c r="D21" i="30"/>
  <c r="E21" i="30"/>
  <c r="D22" i="30"/>
  <c r="E22" i="30"/>
  <c r="D23" i="30"/>
  <c r="E23" i="30"/>
  <c r="D24" i="30"/>
  <c r="E24" i="30"/>
  <c r="D25" i="30"/>
  <c r="E25" i="30"/>
  <c r="D26" i="30"/>
  <c r="E26" i="30"/>
  <c r="D27" i="30"/>
  <c r="E27" i="30"/>
  <c r="D28" i="30"/>
  <c r="E28" i="30"/>
  <c r="E7" i="30"/>
  <c r="F7" i="30"/>
  <c r="F27" i="30" l="1"/>
  <c r="F25" i="30"/>
  <c r="F9" i="30"/>
  <c r="F11" i="30"/>
  <c r="F15" i="30"/>
  <c r="F26" i="30"/>
  <c r="F21" i="30"/>
  <c r="F8" i="30"/>
  <c r="F29" i="30" s="1"/>
  <c r="F20" i="30"/>
  <c r="F14" i="30"/>
  <c r="F19" i="30"/>
  <c r="F12" i="30"/>
  <c r="F18" i="30"/>
  <c r="F10" i="30"/>
  <c r="F23" i="30"/>
  <c r="F28" i="30"/>
  <c r="F16" i="30"/>
  <c r="F13" i="30"/>
  <c r="F24" i="30"/>
  <c r="F17" i="30"/>
  <c r="F22" i="30"/>
  <c r="J49" i="28" l="1"/>
  <c r="H49" i="28"/>
  <c r="L48" i="28"/>
  <c r="J48" i="28"/>
  <c r="H48" i="28"/>
  <c r="L47" i="28"/>
  <c r="J47" i="28"/>
  <c r="H47" i="28"/>
  <c r="L46" i="28"/>
  <c r="J46" i="28"/>
  <c r="L45" i="28"/>
  <c r="J45" i="28"/>
  <c r="L44" i="28"/>
  <c r="J44" i="28"/>
  <c r="H44" i="28"/>
  <c r="L43" i="28"/>
  <c r="J43" i="28"/>
  <c r="H43" i="28"/>
  <c r="L42" i="28"/>
  <c r="J42" i="28"/>
  <c r="H42" i="28"/>
  <c r="L41" i="28"/>
  <c r="J41" i="28"/>
  <c r="H41" i="28"/>
  <c r="L40" i="28"/>
  <c r="J40" i="28"/>
  <c r="H40" i="28"/>
  <c r="L39" i="28"/>
  <c r="J39" i="28"/>
  <c r="H39" i="28"/>
  <c r="L38" i="28"/>
  <c r="J38" i="28"/>
  <c r="L37" i="28"/>
  <c r="J37" i="28"/>
  <c r="H37" i="28"/>
  <c r="L36" i="28"/>
  <c r="J36" i="28"/>
  <c r="H36" i="28"/>
  <c r="L35" i="28"/>
  <c r="J35" i="28"/>
  <c r="H35" i="28"/>
  <c r="L34" i="28"/>
  <c r="J34" i="28"/>
  <c r="H34" i="28"/>
  <c r="L33" i="28"/>
  <c r="J33" i="28"/>
  <c r="L32" i="28"/>
  <c r="J32" i="28"/>
  <c r="H32" i="28"/>
  <c r="L31" i="28"/>
  <c r="J31" i="28"/>
  <c r="L30" i="28"/>
  <c r="J30" i="28"/>
  <c r="L29" i="28"/>
  <c r="J29" i="28"/>
  <c r="L28" i="28"/>
  <c r="J28" i="28"/>
  <c r="G29" i="28" l="1"/>
  <c r="G30" i="28"/>
  <c r="G31" i="28"/>
  <c r="G32" i="28"/>
  <c r="G33" i="28"/>
  <c r="G34" i="28"/>
  <c r="G35" i="28"/>
  <c r="G36" i="28"/>
  <c r="G37" i="28"/>
  <c r="G38" i="28"/>
  <c r="G39" i="28"/>
  <c r="G40" i="28"/>
  <c r="G41" i="28"/>
  <c r="G42" i="28"/>
  <c r="G43" i="28"/>
  <c r="G44" i="28"/>
  <c r="G45" i="28"/>
  <c r="G46" i="28"/>
  <c r="G47" i="28"/>
  <c r="G48" i="28"/>
  <c r="G49" i="28"/>
  <c r="G28" i="28"/>
  <c r="L49" i="28"/>
  <c r="H46" i="28"/>
  <c r="H45" i="28"/>
  <c r="H38" i="28"/>
  <c r="H33" i="28"/>
  <c r="H31" i="28"/>
  <c r="H30" i="28"/>
  <c r="H29" i="28"/>
  <c r="H28" i="28"/>
  <c r="C14" i="31" l="1"/>
  <c r="C14" i="30"/>
  <c r="C35" i="28"/>
  <c r="C25" i="31"/>
  <c r="C25" i="30"/>
  <c r="C46" i="28"/>
  <c r="C13" i="31"/>
  <c r="C13" i="30"/>
  <c r="C34" i="28"/>
  <c r="C11" i="31"/>
  <c r="C11" i="30"/>
  <c r="C32" i="28"/>
  <c r="C22" i="31"/>
  <c r="C22" i="30"/>
  <c r="C43" i="28"/>
  <c r="C24" i="31"/>
  <c r="C24" i="30"/>
  <c r="C45" i="28"/>
  <c r="C10" i="31"/>
  <c r="C10" i="30"/>
  <c r="C31" i="28"/>
  <c r="C21" i="31"/>
  <c r="C21" i="30"/>
  <c r="C42" i="28"/>
  <c r="C9" i="31"/>
  <c r="C9" i="30"/>
  <c r="C30" i="28"/>
  <c r="C20" i="31"/>
  <c r="C20" i="30"/>
  <c r="C41" i="28"/>
  <c r="C8" i="31"/>
  <c r="C8" i="30"/>
  <c r="C29" i="28"/>
  <c r="C18" i="31"/>
  <c r="C18" i="30"/>
  <c r="C39" i="28"/>
  <c r="C12" i="31"/>
  <c r="C12" i="30"/>
  <c r="C33" i="28"/>
  <c r="C23" i="31"/>
  <c r="C23" i="30"/>
  <c r="C44" i="28"/>
  <c r="C28" i="28"/>
  <c r="C7" i="31"/>
  <c r="C7" i="30"/>
  <c r="C29" i="31"/>
  <c r="B7" i="28"/>
  <c r="C50" i="28"/>
  <c r="C17" i="31"/>
  <c r="C17" i="30"/>
  <c r="C38" i="28"/>
  <c r="C26" i="31"/>
  <c r="C26" i="30"/>
  <c r="C47" i="28"/>
  <c r="C19" i="31"/>
  <c r="C19" i="30"/>
  <c r="C40" i="28"/>
  <c r="C28" i="31"/>
  <c r="C28" i="30"/>
  <c r="C49" i="28"/>
  <c r="C16" i="31"/>
  <c r="C16" i="30"/>
  <c r="C37" i="28"/>
  <c r="C27" i="31"/>
  <c r="C27" i="30"/>
  <c r="C48" i="28"/>
  <c r="C15" i="31"/>
  <c r="C15" i="30"/>
  <c r="C36" i="28"/>
  <c r="B12" i="10"/>
  <c r="B13" i="10" l="1"/>
  <c r="B8" i="28" s="1"/>
  <c r="M32" i="28"/>
  <c r="M36" i="28"/>
  <c r="M29" i="28"/>
  <c r="M31" i="28"/>
  <c r="M28" i="28"/>
  <c r="M47" i="28"/>
  <c r="M41" i="28"/>
  <c r="M33" i="28"/>
  <c r="M30" i="28"/>
  <c r="C29" i="30"/>
  <c r="F30" i="30" s="1"/>
  <c r="F11" i="10"/>
  <c r="B50" i="10" l="1"/>
  <c r="B41" i="10"/>
  <c r="M50" i="28"/>
  <c r="G26" i="30"/>
  <c r="K47" i="28" s="1"/>
  <c r="G25" i="30"/>
  <c r="K46" i="28" s="1"/>
  <c r="G27" i="30"/>
  <c r="K48" i="28" s="1"/>
  <c r="G15" i="30"/>
  <c r="K36" i="28" s="1"/>
  <c r="G9" i="30"/>
  <c r="K30" i="28" s="1"/>
  <c r="G11" i="30"/>
  <c r="K32" i="28" s="1"/>
  <c r="G7" i="30"/>
  <c r="K28" i="28" s="1"/>
  <c r="G21" i="30"/>
  <c r="K42" i="28" s="1"/>
  <c r="G8" i="30"/>
  <c r="K29" i="28" s="1"/>
  <c r="G23" i="30"/>
  <c r="K44" i="28" s="1"/>
  <c r="G16" i="30"/>
  <c r="K37" i="28" s="1"/>
  <c r="G28" i="30"/>
  <c r="K49" i="28" s="1"/>
  <c r="G10" i="30"/>
  <c r="K31" i="28" s="1"/>
  <c r="G18" i="30"/>
  <c r="K39" i="28" s="1"/>
  <c r="G22" i="30"/>
  <c r="K43" i="28" s="1"/>
  <c r="G17" i="30"/>
  <c r="K38" i="28" s="1"/>
  <c r="G24" i="30"/>
  <c r="K45" i="28" s="1"/>
  <c r="G20" i="30"/>
  <c r="K41" i="28" s="1"/>
  <c r="G19" i="30"/>
  <c r="K40" i="28" s="1"/>
  <c r="G12" i="30"/>
  <c r="K33" i="28" s="1"/>
  <c r="G14" i="30"/>
  <c r="K35" i="28" s="1"/>
  <c r="G13" i="30"/>
  <c r="K34" i="28" s="1"/>
  <c r="J36" i="15"/>
  <c r="J37" i="15"/>
  <c r="J38" i="15"/>
  <c r="J39" i="15"/>
  <c r="J40" i="15"/>
  <c r="J41" i="15"/>
  <c r="J42" i="15"/>
  <c r="J43" i="15"/>
  <c r="J44" i="15"/>
  <c r="J45" i="15"/>
  <c r="J46" i="15"/>
  <c r="J47" i="15"/>
  <c r="J48" i="15"/>
  <c r="J49" i="15"/>
  <c r="J50" i="15"/>
  <c r="J51" i="15"/>
  <c r="J52" i="15"/>
  <c r="J53" i="15"/>
  <c r="J54" i="15"/>
  <c r="J55" i="15"/>
  <c r="J56" i="15"/>
  <c r="J57" i="15" l="1"/>
  <c r="H9" i="15" l="1"/>
  <c r="H10" i="15"/>
  <c r="H11" i="15"/>
  <c r="H12" i="15"/>
  <c r="H13" i="15"/>
  <c r="H14" i="15"/>
  <c r="H15" i="15"/>
  <c r="H16" i="15"/>
  <c r="H17" i="15"/>
  <c r="H18" i="15"/>
  <c r="H19" i="15"/>
  <c r="H20" i="15"/>
  <c r="H21" i="15"/>
  <c r="H22" i="15"/>
  <c r="H23" i="15"/>
  <c r="H24" i="15"/>
  <c r="H25" i="15"/>
  <c r="H26" i="15"/>
  <c r="H27" i="15"/>
  <c r="H28" i="15"/>
  <c r="H29" i="15"/>
  <c r="G50" i="28" l="1"/>
  <c r="L50" i="28"/>
  <c r="H50" i="28"/>
  <c r="J50" i="28"/>
  <c r="D13" i="20" l="1"/>
  <c r="D39" i="20" l="1"/>
  <c r="D29" i="20"/>
  <c r="D40" i="20"/>
  <c r="D30" i="20" l="1"/>
  <c r="D35" i="20"/>
  <c r="D36" i="20" s="1"/>
  <c r="E39" i="20"/>
  <c r="E29" i="20"/>
  <c r="D45" i="20"/>
  <c r="D46" i="20" s="1"/>
  <c r="E40" i="20" l="1"/>
  <c r="E42" i="20"/>
  <c r="E32" i="20"/>
  <c r="E33" i="20" s="1"/>
  <c r="E30" i="20"/>
  <c r="E43" i="20" l="1"/>
  <c r="E46" i="20" s="1"/>
  <c r="E36" i="20"/>
  <c r="E35" i="20"/>
  <c r="E45" i="20"/>
  <c r="B51" i="10" l="1"/>
  <c r="B17" i="10" s="1"/>
  <c r="E48" i="20"/>
  <c r="B22" i="10"/>
  <c r="H30" i="15"/>
  <c r="I30" i="15" s="1"/>
  <c r="I50" i="28" s="1"/>
  <c r="C9" i="16" l="1"/>
  <c r="C10" i="16"/>
  <c r="C11" i="16"/>
  <c r="C12" i="16"/>
  <c r="C13" i="16"/>
  <c r="C14" i="16"/>
  <c r="C15" i="16"/>
  <c r="C16" i="16"/>
  <c r="C17" i="16"/>
  <c r="C18" i="16"/>
  <c r="C19" i="16"/>
  <c r="C20" i="16"/>
  <c r="C21" i="16"/>
  <c r="C22" i="16"/>
  <c r="C23" i="16"/>
  <c r="C24" i="16"/>
  <c r="C25" i="16"/>
  <c r="C26" i="16"/>
  <c r="C27" i="16"/>
  <c r="C28" i="16"/>
  <c r="C29" i="16"/>
  <c r="C8" i="16"/>
  <c r="B47" i="10" l="1"/>
  <c r="B14" i="28"/>
  <c r="C30" i="16"/>
  <c r="B16" i="10" l="1"/>
  <c r="B18" i="10" s="1"/>
  <c r="C36" i="15"/>
  <c r="C37" i="15"/>
  <c r="C38" i="15"/>
  <c r="C39" i="15"/>
  <c r="C40" i="15"/>
  <c r="C41" i="15"/>
  <c r="C42" i="15"/>
  <c r="C43" i="15"/>
  <c r="C44" i="15"/>
  <c r="C45" i="15"/>
  <c r="C46" i="15"/>
  <c r="C47" i="15"/>
  <c r="C48" i="15"/>
  <c r="C49" i="15"/>
  <c r="C50" i="15"/>
  <c r="C51" i="15"/>
  <c r="C52" i="15"/>
  <c r="C53" i="15"/>
  <c r="C54" i="15"/>
  <c r="C55" i="15"/>
  <c r="C56" i="15"/>
  <c r="C57" i="15"/>
  <c r="C35" i="15"/>
  <c r="G25" i="16" l="1"/>
  <c r="E57" i="15"/>
  <c r="E56" i="15"/>
  <c r="E55" i="15"/>
  <c r="E54" i="15"/>
  <c r="E53" i="15"/>
  <c r="E52" i="15"/>
  <c r="E51" i="15"/>
  <c r="E50" i="15"/>
  <c r="E49" i="15"/>
  <c r="E48" i="15"/>
  <c r="E47" i="15"/>
  <c r="E46" i="15"/>
  <c r="E45" i="15"/>
  <c r="E44" i="15"/>
  <c r="E43" i="15"/>
  <c r="E42" i="15"/>
  <c r="E41" i="15"/>
  <c r="E40" i="15"/>
  <c r="E39" i="15"/>
  <c r="E38" i="15"/>
  <c r="E37" i="15"/>
  <c r="E36" i="15"/>
  <c r="E35" i="15"/>
  <c r="H8" i="15"/>
  <c r="I18" i="15" l="1"/>
  <c r="I38" i="28" s="1"/>
  <c r="I26" i="15"/>
  <c r="I46" i="28" s="1"/>
  <c r="I10" i="15"/>
  <c r="I30" i="28" s="1"/>
  <c r="I14" i="15"/>
  <c r="I34" i="28" s="1"/>
  <c r="F38" i="15"/>
  <c r="F42" i="15"/>
  <c r="F46" i="15"/>
  <c r="F50" i="15"/>
  <c r="F54" i="15"/>
  <c r="F35" i="15"/>
  <c r="I29" i="15"/>
  <c r="I49" i="28" s="1"/>
  <c r="I22" i="15"/>
  <c r="I42" i="28" s="1"/>
  <c r="I11" i="15"/>
  <c r="I31" i="28" s="1"/>
  <c r="I15" i="15"/>
  <c r="I35" i="28" s="1"/>
  <c r="I19" i="15"/>
  <c r="I39" i="28" s="1"/>
  <c r="I23" i="15"/>
  <c r="I43" i="28" s="1"/>
  <c r="I27" i="15"/>
  <c r="I47" i="28" s="1"/>
  <c r="I8" i="15"/>
  <c r="I28" i="28" s="1"/>
  <c r="I12" i="15"/>
  <c r="I32" i="28" s="1"/>
  <c r="I16" i="15"/>
  <c r="I36" i="28" s="1"/>
  <c r="I20" i="15"/>
  <c r="I40" i="28" s="1"/>
  <c r="I24" i="15"/>
  <c r="I44" i="28" s="1"/>
  <c r="I28" i="15"/>
  <c r="I48" i="28" s="1"/>
  <c r="I9" i="15"/>
  <c r="I29" i="28" s="1"/>
  <c r="I13" i="15"/>
  <c r="I33" i="28" s="1"/>
  <c r="I17" i="15"/>
  <c r="I37" i="28" s="1"/>
  <c r="I21" i="15"/>
  <c r="I41" i="28" s="1"/>
  <c r="I25" i="15"/>
  <c r="I45" i="28" s="1"/>
  <c r="F39" i="15"/>
  <c r="F57" i="15"/>
  <c r="F53" i="15"/>
  <c r="F49" i="15"/>
  <c r="F45" i="15"/>
  <c r="F41" i="15"/>
  <c r="F37" i="15"/>
  <c r="F56" i="15"/>
  <c r="F52" i="15"/>
  <c r="F48" i="15"/>
  <c r="F44" i="15"/>
  <c r="F40" i="15"/>
  <c r="F36" i="15"/>
  <c r="F55" i="15"/>
  <c r="F51" i="15"/>
  <c r="F47" i="15"/>
  <c r="F43" i="15"/>
  <c r="G8" i="16"/>
  <c r="G9" i="16"/>
  <c r="G10" i="16"/>
  <c r="G11" i="16"/>
  <c r="G13" i="16"/>
  <c r="G14" i="16"/>
  <c r="G16" i="16"/>
  <c r="G17" i="16"/>
  <c r="G19" i="16"/>
  <c r="G20" i="16"/>
  <c r="G21" i="16"/>
  <c r="G22" i="16"/>
  <c r="G24" i="16"/>
  <c r="G27" i="16"/>
  <c r="G28" i="16"/>
  <c r="H8" i="16"/>
  <c r="H9" i="16"/>
  <c r="H10" i="16"/>
  <c r="H11" i="16"/>
  <c r="H12" i="16"/>
  <c r="H13" i="16"/>
  <c r="H14" i="16"/>
  <c r="H15" i="16"/>
  <c r="H16" i="16"/>
  <c r="H17" i="16"/>
  <c r="H18" i="16"/>
  <c r="H19" i="16"/>
  <c r="H20" i="16"/>
  <c r="H21" i="16"/>
  <c r="H22" i="16"/>
  <c r="H23" i="16"/>
  <c r="H24" i="16"/>
  <c r="H25" i="16"/>
  <c r="H26" i="16"/>
  <c r="H27" i="16"/>
  <c r="H28" i="16"/>
  <c r="H29" i="16"/>
  <c r="G12" i="16"/>
  <c r="G15" i="16"/>
  <c r="G18" i="16"/>
  <c r="G23" i="16"/>
  <c r="G26" i="16"/>
  <c r="G29" i="16"/>
  <c r="I8" i="16"/>
  <c r="I9" i="16"/>
  <c r="I10" i="16"/>
  <c r="I11" i="16"/>
  <c r="I12" i="16"/>
  <c r="I13" i="16"/>
  <c r="I14" i="16"/>
  <c r="I15" i="16"/>
  <c r="I16" i="16"/>
  <c r="I17" i="16"/>
  <c r="I18" i="16"/>
  <c r="I19" i="16"/>
  <c r="I20" i="16"/>
  <c r="I21" i="16"/>
  <c r="I22" i="16"/>
  <c r="I23" i="16"/>
  <c r="I24" i="16"/>
  <c r="I25" i="16"/>
  <c r="I26" i="16"/>
  <c r="I27" i="16"/>
  <c r="I28" i="16"/>
  <c r="I29" i="16"/>
  <c r="H30" i="16" l="1"/>
  <c r="I30" i="16"/>
  <c r="G30" i="16"/>
  <c r="J12" i="16" l="1"/>
  <c r="D32" i="28" s="1"/>
  <c r="J21" i="16"/>
  <c r="D41" i="28" s="1"/>
  <c r="J26" i="16"/>
  <c r="D46" i="28" s="1"/>
  <c r="J13" i="16"/>
  <c r="D33" i="28" s="1"/>
  <c r="J24" i="16"/>
  <c r="D44" i="28" s="1"/>
  <c r="J28" i="16"/>
  <c r="D48" i="28" s="1"/>
  <c r="J8" i="16"/>
  <c r="D28" i="28" s="1"/>
  <c r="J16" i="16"/>
  <c r="D36" i="28" s="1"/>
  <c r="J10" i="16"/>
  <c r="D30" i="28" s="1"/>
  <c r="J14" i="16"/>
  <c r="D34" i="28" s="1"/>
  <c r="J19" i="16"/>
  <c r="D39" i="28" s="1"/>
  <c r="J25" i="16"/>
  <c r="D45" i="28" s="1"/>
  <c r="J9" i="16"/>
  <c r="D29" i="28" s="1"/>
  <c r="J20" i="16"/>
  <c r="D40" i="28" s="1"/>
  <c r="J23" i="16"/>
  <c r="D43" i="28" s="1"/>
  <c r="J11" i="16"/>
  <c r="D31" i="28" s="1"/>
  <c r="J22" i="16"/>
  <c r="D42" i="28" s="1"/>
  <c r="J29" i="16"/>
  <c r="D49" i="28" s="1"/>
  <c r="J15" i="16"/>
  <c r="D35" i="28" s="1"/>
  <c r="J18" i="16"/>
  <c r="D38" i="28" s="1"/>
  <c r="J17" i="16"/>
  <c r="D37" i="28" s="1"/>
  <c r="J27" i="16"/>
  <c r="D47" i="28" s="1"/>
  <c r="L8" i="16"/>
  <c r="F28" i="28" s="1"/>
  <c r="L12" i="16"/>
  <c r="F32" i="28" s="1"/>
  <c r="L16" i="16"/>
  <c r="F36" i="28" s="1"/>
  <c r="L20" i="16"/>
  <c r="F40" i="28" s="1"/>
  <c r="L24" i="16"/>
  <c r="F44" i="28" s="1"/>
  <c r="L29" i="16"/>
  <c r="F49" i="28" s="1"/>
  <c r="L11" i="16"/>
  <c r="F31" i="28" s="1"/>
  <c r="L15" i="16"/>
  <c r="F35" i="28" s="1"/>
  <c r="L19" i="16"/>
  <c r="F39" i="28" s="1"/>
  <c r="L23" i="16"/>
  <c r="F43" i="28" s="1"/>
  <c r="L26" i="16"/>
  <c r="F46" i="28" s="1"/>
  <c r="L28" i="16"/>
  <c r="F48" i="28" s="1"/>
  <c r="L10" i="16"/>
  <c r="F30" i="28" s="1"/>
  <c r="L14" i="16"/>
  <c r="F34" i="28" s="1"/>
  <c r="L18" i="16"/>
  <c r="F38" i="28" s="1"/>
  <c r="L22" i="16"/>
  <c r="F42" i="28" s="1"/>
  <c r="L9" i="16"/>
  <c r="F29" i="28" s="1"/>
  <c r="L13" i="16"/>
  <c r="F33" i="28" s="1"/>
  <c r="L21" i="16"/>
  <c r="F41" i="28" s="1"/>
  <c r="L27" i="16"/>
  <c r="F47" i="28" s="1"/>
  <c r="L17" i="16"/>
  <c r="F37" i="28" s="1"/>
  <c r="L25" i="16"/>
  <c r="F45" i="28" s="1"/>
  <c r="K27" i="16"/>
  <c r="E47" i="28" s="1"/>
  <c r="K9" i="16"/>
  <c r="E29" i="28" s="1"/>
  <c r="K13" i="16"/>
  <c r="E33" i="28" s="1"/>
  <c r="K17" i="16"/>
  <c r="E37" i="28" s="1"/>
  <c r="K21" i="16"/>
  <c r="E41" i="28" s="1"/>
  <c r="K25" i="16"/>
  <c r="E45" i="28" s="1"/>
  <c r="K26" i="16"/>
  <c r="E46" i="28" s="1"/>
  <c r="K8" i="16"/>
  <c r="E28" i="28" s="1"/>
  <c r="K12" i="16"/>
  <c r="E32" i="28" s="1"/>
  <c r="K16" i="16"/>
  <c r="E36" i="28" s="1"/>
  <c r="K20" i="16"/>
  <c r="E40" i="28" s="1"/>
  <c r="K24" i="16"/>
  <c r="E44" i="28" s="1"/>
  <c r="K11" i="16"/>
  <c r="E31" i="28" s="1"/>
  <c r="K15" i="16"/>
  <c r="E35" i="28" s="1"/>
  <c r="K19" i="16"/>
  <c r="E39" i="28" s="1"/>
  <c r="K23" i="16"/>
  <c r="E43" i="28" s="1"/>
  <c r="K10" i="16"/>
  <c r="E30" i="28" s="1"/>
  <c r="K14" i="16"/>
  <c r="E34" i="28" s="1"/>
  <c r="K18" i="16"/>
  <c r="E38" i="28" s="1"/>
  <c r="K22" i="16"/>
  <c r="E42" i="28" s="1"/>
  <c r="K29" i="16"/>
  <c r="E49" i="28" s="1"/>
  <c r="K28" i="16"/>
  <c r="E48" i="28" s="1"/>
  <c r="B7" i="14" l="1"/>
  <c r="D24" i="14"/>
  <c r="D25" i="14"/>
  <c r="D26" i="14"/>
  <c r="D27" i="14"/>
  <c r="D28" i="14"/>
  <c r="D29" i="14"/>
  <c r="D30" i="14"/>
  <c r="D31" i="14"/>
  <c r="D32" i="14"/>
  <c r="D33" i="14"/>
  <c r="D34" i="14"/>
  <c r="D35" i="14"/>
  <c r="D36" i="14"/>
  <c r="D37" i="14"/>
  <c r="D38" i="14"/>
  <c r="D39" i="14"/>
  <c r="D40" i="14"/>
  <c r="D41" i="14"/>
  <c r="D42" i="14"/>
  <c r="D43" i="14"/>
  <c r="D44" i="14"/>
  <c r="D45" i="14"/>
  <c r="D23" i="14"/>
  <c r="C24" i="14"/>
  <c r="C25" i="14"/>
  <c r="C26" i="14"/>
  <c r="C27" i="14"/>
  <c r="C28" i="14"/>
  <c r="C29" i="14"/>
  <c r="C30" i="14"/>
  <c r="C31" i="14"/>
  <c r="C32" i="14"/>
  <c r="C33" i="14"/>
  <c r="C34" i="14"/>
  <c r="C35" i="14"/>
  <c r="C36" i="14"/>
  <c r="C37" i="14"/>
  <c r="C38" i="14"/>
  <c r="C39" i="14"/>
  <c r="C40" i="14"/>
  <c r="C41" i="14"/>
  <c r="C42" i="14"/>
  <c r="C43" i="14"/>
  <c r="C44" i="14"/>
  <c r="C45" i="14"/>
  <c r="C23" i="14"/>
  <c r="K56" i="15"/>
  <c r="K55" i="15"/>
  <c r="K54" i="15"/>
  <c r="K53" i="15"/>
  <c r="K52" i="15"/>
  <c r="K51" i="15"/>
  <c r="K50" i="15"/>
  <c r="K49" i="15"/>
  <c r="K48" i="15"/>
  <c r="K47" i="15"/>
  <c r="K46" i="15"/>
  <c r="K45" i="15"/>
  <c r="K44" i="15"/>
  <c r="K43" i="15"/>
  <c r="K42" i="15"/>
  <c r="K41" i="15"/>
  <c r="K40" i="15"/>
  <c r="K39" i="15"/>
  <c r="K38" i="15"/>
  <c r="K37" i="15"/>
  <c r="K36" i="15"/>
  <c r="K57" i="15"/>
  <c r="L35" i="15" s="1"/>
  <c r="L43" i="15" l="1"/>
  <c r="L37" i="15"/>
  <c r="L45" i="15"/>
  <c r="L52" i="15"/>
  <c r="L40" i="15"/>
  <c r="L48" i="15"/>
  <c r="L56" i="15"/>
  <c r="L41" i="15"/>
  <c r="L53" i="15"/>
  <c r="L47" i="15"/>
  <c r="L38" i="15"/>
  <c r="L51" i="15"/>
  <c r="L42" i="15"/>
  <c r="L54" i="15"/>
  <c r="L49" i="15"/>
  <c r="L36" i="15"/>
  <c r="L55" i="15"/>
  <c r="L57" i="15"/>
  <c r="E45" i="14" s="1"/>
  <c r="L50" i="15"/>
  <c r="L46" i="15"/>
  <c r="L39" i="15"/>
  <c r="L44" i="15"/>
  <c r="E34" i="14" l="1"/>
  <c r="E30" i="14"/>
  <c r="E42" i="14"/>
  <c r="E26" i="14"/>
  <c r="E28" i="14"/>
  <c r="E39" i="14"/>
  <c r="E36" i="14"/>
  <c r="E43" i="14"/>
  <c r="E35" i="14"/>
  <c r="E40" i="14"/>
  <c r="E38" i="14"/>
  <c r="E44" i="14"/>
  <c r="E23" i="14"/>
  <c r="E32" i="14"/>
  <c r="E24" i="14"/>
  <c r="E41" i="14"/>
  <c r="E33" i="14"/>
  <c r="E27" i="14"/>
  <c r="E37" i="14"/>
  <c r="E29" i="14"/>
  <c r="E25" i="14"/>
  <c r="E31" i="14"/>
  <c r="B24" i="10" l="1"/>
  <c r="B13" i="28"/>
  <c r="B10" i="14"/>
  <c r="B17" i="14" s="1"/>
  <c r="B25" i="10" l="1"/>
  <c r="B26" i="10" s="1"/>
  <c r="B28" i="10" s="1"/>
  <c r="D21" i="28"/>
  <c r="D22" i="28" s="1"/>
  <c r="B15" i="28"/>
  <c r="B16" i="28"/>
  <c r="B21" i="28"/>
  <c r="K21" i="28"/>
  <c r="K22" i="28" s="1"/>
  <c r="K69" i="28" s="1"/>
  <c r="K98" i="28" s="1"/>
  <c r="H21" i="28"/>
  <c r="H22" i="28" s="1"/>
  <c r="H74" i="28" s="1"/>
  <c r="H103" i="28" s="1"/>
  <c r="J21" i="28"/>
  <c r="J22" i="28" s="1"/>
  <c r="L21" i="28"/>
  <c r="L22" i="28" s="1"/>
  <c r="L54" i="28" s="1"/>
  <c r="E21" i="28"/>
  <c r="E22" i="28" s="1"/>
  <c r="E57" i="28" s="1"/>
  <c r="E86" i="28" s="1"/>
  <c r="M21" i="28"/>
  <c r="M22" i="28" s="1"/>
  <c r="M61" i="28" s="1"/>
  <c r="M90" i="28" s="1"/>
  <c r="C18" i="14"/>
  <c r="D68" i="14" s="1"/>
  <c r="D95" i="14" s="1"/>
  <c r="B11" i="14"/>
  <c r="B12" i="14" s="1"/>
  <c r="C19" i="14" s="1"/>
  <c r="I21" i="28"/>
  <c r="G21" i="28"/>
  <c r="F21" i="28"/>
  <c r="L62" i="28" l="1"/>
  <c r="L91" i="28" s="1"/>
  <c r="D50" i="14"/>
  <c r="D77" i="14" s="1"/>
  <c r="D66" i="14"/>
  <c r="D93" i="14" s="1"/>
  <c r="D53" i="14"/>
  <c r="D80" i="14" s="1"/>
  <c r="D65" i="14"/>
  <c r="D92" i="14" s="1"/>
  <c r="D51" i="14"/>
  <c r="D78" i="14" s="1"/>
  <c r="D64" i="14"/>
  <c r="D91" i="14" s="1"/>
  <c r="D69" i="14"/>
  <c r="D96" i="14" s="1"/>
  <c r="D62" i="14"/>
  <c r="D89" i="14" s="1"/>
  <c r="D63" i="14"/>
  <c r="D90" i="14" s="1"/>
  <c r="D54" i="14"/>
  <c r="D81" i="14" s="1"/>
  <c r="D67" i="14"/>
  <c r="D94" i="14" s="1"/>
  <c r="D49" i="14"/>
  <c r="D76" i="14" s="1"/>
  <c r="D56" i="14"/>
  <c r="D83" i="14" s="1"/>
  <c r="D57" i="14"/>
  <c r="D84" i="14" s="1"/>
  <c r="D61" i="14"/>
  <c r="D88" i="14" s="1"/>
  <c r="D70" i="14"/>
  <c r="D97" i="14" s="1"/>
  <c r="D60" i="14"/>
  <c r="D87" i="14" s="1"/>
  <c r="D55" i="14"/>
  <c r="D82" i="14" s="1"/>
  <c r="D71" i="14"/>
  <c r="D98" i="14" s="1"/>
  <c r="D52" i="14"/>
  <c r="D79" i="14" s="1"/>
  <c r="D59" i="14"/>
  <c r="D86" i="14" s="1"/>
  <c r="D23" i="28"/>
  <c r="K65" i="28"/>
  <c r="K94" i="28" s="1"/>
  <c r="K72" i="28"/>
  <c r="K101" i="28" s="1"/>
  <c r="K63" i="28"/>
  <c r="K92" i="28" s="1"/>
  <c r="H63" i="28"/>
  <c r="H92" i="28" s="1"/>
  <c r="K58" i="28"/>
  <c r="K87" i="28" s="1"/>
  <c r="E61" i="28"/>
  <c r="E90" i="28" s="1"/>
  <c r="E70" i="28"/>
  <c r="E99" i="28" s="1"/>
  <c r="E54" i="28"/>
  <c r="E83" i="28" s="1"/>
  <c r="L67" i="28"/>
  <c r="L96" i="28" s="1"/>
  <c r="L58" i="28"/>
  <c r="L87" i="28" s="1"/>
  <c r="L70" i="28"/>
  <c r="L99" i="28" s="1"/>
  <c r="L61" i="28"/>
  <c r="L90" i="28" s="1"/>
  <c r="L72" i="28"/>
  <c r="L101" i="28" s="1"/>
  <c r="L74" i="28"/>
  <c r="L103" i="28" s="1"/>
  <c r="E58" i="28"/>
  <c r="E87" i="28" s="1"/>
  <c r="E71" i="28"/>
  <c r="E100" i="28" s="1"/>
  <c r="J23" i="28"/>
  <c r="E64" i="28"/>
  <c r="E93" i="28" s="1"/>
  <c r="E59" i="28"/>
  <c r="E88" i="28" s="1"/>
  <c r="E68" i="28"/>
  <c r="E97" i="28" s="1"/>
  <c r="E55" i="28"/>
  <c r="E84" i="28" s="1"/>
  <c r="L71" i="28"/>
  <c r="L100" i="28" s="1"/>
  <c r="L65" i="28"/>
  <c r="L94" i="28" s="1"/>
  <c r="L64" i="28"/>
  <c r="L93" i="28" s="1"/>
  <c r="H70" i="28"/>
  <c r="H99" i="28" s="1"/>
  <c r="H64" i="28"/>
  <c r="H93" i="28" s="1"/>
  <c r="H66" i="28"/>
  <c r="H95" i="28" s="1"/>
  <c r="K75" i="28"/>
  <c r="K104" i="28" s="1"/>
  <c r="K70" i="28"/>
  <c r="K99" i="28" s="1"/>
  <c r="H62" i="28"/>
  <c r="H91" i="28" s="1"/>
  <c r="K71" i="28"/>
  <c r="K100" i="28" s="1"/>
  <c r="K57" i="28"/>
  <c r="K86" i="28" s="1"/>
  <c r="H54" i="28"/>
  <c r="H83" i="28" s="1"/>
  <c r="K73" i="28"/>
  <c r="K102" i="28" s="1"/>
  <c r="K59" i="28"/>
  <c r="K88" i="28" s="1"/>
  <c r="H55" i="28"/>
  <c r="H84" i="28" s="1"/>
  <c r="H71" i="28"/>
  <c r="H100" i="28" s="1"/>
  <c r="H68" i="28"/>
  <c r="H97" i="28" s="1"/>
  <c r="K54" i="28"/>
  <c r="K83" i="28" s="1"/>
  <c r="K62" i="28"/>
  <c r="K91" i="28" s="1"/>
  <c r="H56" i="28"/>
  <c r="H85" i="28" s="1"/>
  <c r="H73" i="28"/>
  <c r="H102" i="28" s="1"/>
  <c r="K66" i="28"/>
  <c r="K95" i="28" s="1"/>
  <c r="K61" i="28"/>
  <c r="K90" i="28" s="1"/>
  <c r="H57" i="28"/>
  <c r="H86" i="28" s="1"/>
  <c r="H58" i="28"/>
  <c r="H87" i="28" s="1"/>
  <c r="K67" i="28"/>
  <c r="K96" i="28" s="1"/>
  <c r="K55" i="28"/>
  <c r="K84" i="28" s="1"/>
  <c r="H61" i="28"/>
  <c r="H90" i="28" s="1"/>
  <c r="H60" i="28"/>
  <c r="H89" i="28" s="1"/>
  <c r="H69" i="28"/>
  <c r="H98" i="28" s="1"/>
  <c r="K74" i="28"/>
  <c r="K103" i="28" s="1"/>
  <c r="H67" i="28"/>
  <c r="H96" i="28" s="1"/>
  <c r="H59" i="28"/>
  <c r="H88" i="28" s="1"/>
  <c r="K68" i="28"/>
  <c r="K97" i="28" s="1"/>
  <c r="E67" i="28"/>
  <c r="E96" i="28" s="1"/>
  <c r="H75" i="28"/>
  <c r="H104" i="28" s="1"/>
  <c r="K60" i="28"/>
  <c r="K89" i="28" s="1"/>
  <c r="K56" i="28"/>
  <c r="K85" i="28" s="1"/>
  <c r="L73" i="28"/>
  <c r="L102" i="28" s="1"/>
  <c r="H72" i="28"/>
  <c r="H101" i="28" s="1"/>
  <c r="M62" i="28"/>
  <c r="M91" i="28" s="1"/>
  <c r="K64" i="28"/>
  <c r="K93" i="28" s="1"/>
  <c r="H65" i="28"/>
  <c r="H94" i="28" s="1"/>
  <c r="L56" i="28"/>
  <c r="L85" i="28" s="1"/>
  <c r="C23" i="28"/>
  <c r="M69" i="28"/>
  <c r="M98" i="28" s="1"/>
  <c r="L63" i="28"/>
  <c r="L92" i="28" s="1"/>
  <c r="L68" i="28"/>
  <c r="L97" i="28" s="1"/>
  <c r="L66" i="28"/>
  <c r="L95" i="28" s="1"/>
  <c r="L75" i="28"/>
  <c r="L104" i="28" s="1"/>
  <c r="L55" i="28"/>
  <c r="L84" i="28" s="1"/>
  <c r="L60" i="28"/>
  <c r="L89" i="28" s="1"/>
  <c r="L69" i="28"/>
  <c r="L98" i="28" s="1"/>
  <c r="L57" i="28"/>
  <c r="L86" i="28" s="1"/>
  <c r="L59" i="28"/>
  <c r="L88" i="28" s="1"/>
  <c r="M72" i="28"/>
  <c r="M101" i="28" s="1"/>
  <c r="M60" i="28"/>
  <c r="M89" i="28" s="1"/>
  <c r="M56" i="28"/>
  <c r="M85" i="28" s="1"/>
  <c r="M76" i="28"/>
  <c r="M105" i="28" s="1"/>
  <c r="M57" i="28"/>
  <c r="M86" i="28" s="1"/>
  <c r="M65" i="28"/>
  <c r="M94" i="28" s="1"/>
  <c r="M59" i="28"/>
  <c r="M88" i="28" s="1"/>
  <c r="M55" i="28"/>
  <c r="M84" i="28" s="1"/>
  <c r="M54" i="28"/>
  <c r="M83" i="28" s="1"/>
  <c r="M73" i="28"/>
  <c r="M102" i="28" s="1"/>
  <c r="M74" i="28"/>
  <c r="M103" i="28" s="1"/>
  <c r="M70" i="28"/>
  <c r="M99" i="28" s="1"/>
  <c r="M67" i="28"/>
  <c r="M96" i="28" s="1"/>
  <c r="M64" i="28"/>
  <c r="M93" i="28" s="1"/>
  <c r="M66" i="28"/>
  <c r="M95" i="28" s="1"/>
  <c r="M68" i="28"/>
  <c r="M97" i="28" s="1"/>
  <c r="M58" i="28"/>
  <c r="M87" i="28" s="1"/>
  <c r="M63" i="28"/>
  <c r="M92" i="28" s="1"/>
  <c r="M71" i="28"/>
  <c r="M100" i="28" s="1"/>
  <c r="M75" i="28"/>
  <c r="M104" i="28" s="1"/>
  <c r="E73" i="28"/>
  <c r="E102" i="28" s="1"/>
  <c r="E66" i="28"/>
  <c r="E95" i="28" s="1"/>
  <c r="E69" i="28"/>
  <c r="E98" i="28" s="1"/>
  <c r="E75" i="28"/>
  <c r="E104" i="28" s="1"/>
  <c r="E62" i="28"/>
  <c r="E91" i="28" s="1"/>
  <c r="E56" i="28"/>
  <c r="E85" i="28" s="1"/>
  <c r="E63" i="28"/>
  <c r="E92" i="28" s="1"/>
  <c r="E60" i="28"/>
  <c r="E89" i="28" s="1"/>
  <c r="E74" i="28"/>
  <c r="E103" i="28" s="1"/>
  <c r="E65" i="28"/>
  <c r="E94" i="28" s="1"/>
  <c r="E72" i="28"/>
  <c r="E101" i="28" s="1"/>
  <c r="D58" i="14"/>
  <c r="D85" i="14" s="1"/>
  <c r="D55" i="28"/>
  <c r="D84" i="28" s="1"/>
  <c r="D59" i="28"/>
  <c r="D88" i="28" s="1"/>
  <c r="D57" i="28"/>
  <c r="D86" i="28" s="1"/>
  <c r="D54" i="28"/>
  <c r="D60" i="28"/>
  <c r="D89" i="28" s="1"/>
  <c r="D66" i="28"/>
  <c r="D95" i="28" s="1"/>
  <c r="D62" i="28"/>
  <c r="D91" i="28" s="1"/>
  <c r="D70" i="28"/>
  <c r="D99" i="28" s="1"/>
  <c r="D64" i="28"/>
  <c r="D93" i="28" s="1"/>
  <c r="D65" i="28"/>
  <c r="D94" i="28" s="1"/>
  <c r="D67" i="28"/>
  <c r="D96" i="28" s="1"/>
  <c r="D63" i="28"/>
  <c r="D92" i="28" s="1"/>
  <c r="D75" i="28"/>
  <c r="D104" i="28" s="1"/>
  <c r="D61" i="28"/>
  <c r="D90" i="28" s="1"/>
  <c r="D68" i="28"/>
  <c r="D97" i="28" s="1"/>
  <c r="D74" i="28"/>
  <c r="D103" i="28" s="1"/>
  <c r="D69" i="28"/>
  <c r="D98" i="28" s="1"/>
  <c r="D72" i="28"/>
  <c r="D101" i="28" s="1"/>
  <c r="D73" i="28"/>
  <c r="D102" i="28" s="1"/>
  <c r="D56" i="28"/>
  <c r="D85" i="28" s="1"/>
  <c r="D71" i="28"/>
  <c r="D100" i="28" s="1"/>
  <c r="D58" i="28"/>
  <c r="D87" i="28" s="1"/>
  <c r="D18" i="14"/>
  <c r="D19" i="14"/>
  <c r="B18" i="14"/>
  <c r="B19" i="14"/>
  <c r="E17" i="14"/>
  <c r="J72" i="28"/>
  <c r="J101" i="28" s="1"/>
  <c r="J55" i="28"/>
  <c r="J84" i="28" s="1"/>
  <c r="J69" i="28"/>
  <c r="J98" i="28" s="1"/>
  <c r="J75" i="28"/>
  <c r="J104" i="28" s="1"/>
  <c r="J67" i="28"/>
  <c r="J96" i="28" s="1"/>
  <c r="J74" i="28"/>
  <c r="J103" i="28" s="1"/>
  <c r="J63" i="28"/>
  <c r="J92" i="28" s="1"/>
  <c r="J54" i="28"/>
  <c r="J66" i="28"/>
  <c r="J95" i="28" s="1"/>
  <c r="J70" i="28"/>
  <c r="J99" i="28" s="1"/>
  <c r="J71" i="28"/>
  <c r="J100" i="28" s="1"/>
  <c r="J60" i="28"/>
  <c r="J89" i="28" s="1"/>
  <c r="J73" i="28"/>
  <c r="J102" i="28" s="1"/>
  <c r="J62" i="28"/>
  <c r="J91" i="28" s="1"/>
  <c r="J57" i="28"/>
  <c r="J86" i="28" s="1"/>
  <c r="J64" i="28"/>
  <c r="J93" i="28" s="1"/>
  <c r="J65" i="28"/>
  <c r="J94" i="28" s="1"/>
  <c r="J59" i="28"/>
  <c r="J88" i="28" s="1"/>
  <c r="J68" i="28"/>
  <c r="J97" i="28" s="1"/>
  <c r="J61" i="28"/>
  <c r="J90" i="28" s="1"/>
  <c r="J58" i="28"/>
  <c r="J87" i="28" s="1"/>
  <c r="J56" i="28"/>
  <c r="J85" i="28" s="1"/>
  <c r="F23" i="28"/>
  <c r="F22" i="28"/>
  <c r="L83" i="28"/>
  <c r="M23" i="28"/>
  <c r="E23" i="28"/>
  <c r="L23" i="28"/>
  <c r="H23" i="28"/>
  <c r="K23" i="28"/>
  <c r="G23" i="28"/>
  <c r="G22" i="28"/>
  <c r="I23" i="28"/>
  <c r="I22" i="28"/>
  <c r="B23" i="28"/>
  <c r="N21" i="28"/>
  <c r="B22" i="28"/>
  <c r="E19" i="14" l="1"/>
  <c r="H76" i="28"/>
  <c r="H105" i="28" s="1"/>
  <c r="K76" i="28"/>
  <c r="K105" i="28" s="1"/>
  <c r="E76" i="28"/>
  <c r="E105" i="28" s="1"/>
  <c r="L76" i="28"/>
  <c r="L105" i="28" s="1"/>
  <c r="F58" i="28"/>
  <c r="F87" i="28" s="1"/>
  <c r="F70" i="28"/>
  <c r="F99" i="28" s="1"/>
  <c r="F63" i="28"/>
  <c r="F92" i="28" s="1"/>
  <c r="F57" i="28"/>
  <c r="F86" i="28" s="1"/>
  <c r="F55" i="28"/>
  <c r="F84" i="28" s="1"/>
  <c r="F59" i="28"/>
  <c r="F88" i="28" s="1"/>
  <c r="F75" i="28"/>
  <c r="F104" i="28" s="1"/>
  <c r="F65" i="28"/>
  <c r="F94" i="28" s="1"/>
  <c r="F72" i="28"/>
  <c r="F101" i="28" s="1"/>
  <c r="F73" i="28"/>
  <c r="F102" i="28" s="1"/>
  <c r="F62" i="28"/>
  <c r="F91" i="28" s="1"/>
  <c r="F67" i="28"/>
  <c r="F96" i="28" s="1"/>
  <c r="F60" i="28"/>
  <c r="F89" i="28" s="1"/>
  <c r="F54" i="28"/>
  <c r="F66" i="28"/>
  <c r="F95" i="28" s="1"/>
  <c r="F56" i="28"/>
  <c r="F85" i="28" s="1"/>
  <c r="F68" i="28"/>
  <c r="F97" i="28" s="1"/>
  <c r="F69" i="28"/>
  <c r="F98" i="28" s="1"/>
  <c r="F71" i="28"/>
  <c r="F100" i="28" s="1"/>
  <c r="F61" i="28"/>
  <c r="F90" i="28" s="1"/>
  <c r="F74" i="28"/>
  <c r="F103" i="28" s="1"/>
  <c r="F64" i="28"/>
  <c r="F93" i="28" s="1"/>
  <c r="I68" i="28"/>
  <c r="I97" i="28" s="1"/>
  <c r="I66" i="28"/>
  <c r="I95" i="28" s="1"/>
  <c r="I72" i="28"/>
  <c r="I101" i="28" s="1"/>
  <c r="I55" i="28"/>
  <c r="I84" i="28" s="1"/>
  <c r="I60" i="28"/>
  <c r="I89" i="28" s="1"/>
  <c r="I74" i="28"/>
  <c r="I103" i="28" s="1"/>
  <c r="I57" i="28"/>
  <c r="I86" i="28" s="1"/>
  <c r="I56" i="28"/>
  <c r="I85" i="28" s="1"/>
  <c r="I69" i="28"/>
  <c r="I98" i="28" s="1"/>
  <c r="I67" i="28"/>
  <c r="I96" i="28" s="1"/>
  <c r="I62" i="28"/>
  <c r="I91" i="28" s="1"/>
  <c r="I59" i="28"/>
  <c r="I88" i="28" s="1"/>
  <c r="I70" i="28"/>
  <c r="I99" i="28" s="1"/>
  <c r="I54" i="28"/>
  <c r="I71" i="28"/>
  <c r="I100" i="28" s="1"/>
  <c r="I65" i="28"/>
  <c r="I94" i="28" s="1"/>
  <c r="I63" i="28"/>
  <c r="I92" i="28" s="1"/>
  <c r="I64" i="28"/>
  <c r="I93" i="28" s="1"/>
  <c r="I73" i="28"/>
  <c r="I102" i="28" s="1"/>
  <c r="I75" i="28"/>
  <c r="I104" i="28" s="1"/>
  <c r="I58" i="28"/>
  <c r="I87" i="28" s="1"/>
  <c r="I61" i="28"/>
  <c r="I90" i="28" s="1"/>
  <c r="C60" i="14"/>
  <c r="C67" i="14"/>
  <c r="C52" i="14"/>
  <c r="C61" i="14"/>
  <c r="C59" i="14"/>
  <c r="C62" i="14"/>
  <c r="C70" i="14"/>
  <c r="C49" i="14"/>
  <c r="C66" i="14"/>
  <c r="C68" i="14"/>
  <c r="C57" i="14"/>
  <c r="C50" i="14"/>
  <c r="C54" i="14"/>
  <c r="C55" i="14"/>
  <c r="C53" i="14"/>
  <c r="C71" i="14"/>
  <c r="C69" i="14"/>
  <c r="C58" i="14"/>
  <c r="C64" i="14"/>
  <c r="C51" i="14"/>
  <c r="C65" i="14"/>
  <c r="C56" i="14"/>
  <c r="C63" i="14"/>
  <c r="G68" i="28"/>
  <c r="G97" i="28" s="1"/>
  <c r="G62" i="28"/>
  <c r="G91" i="28" s="1"/>
  <c r="G74" i="28"/>
  <c r="G103" i="28" s="1"/>
  <c r="G61" i="28"/>
  <c r="G90" i="28" s="1"/>
  <c r="G73" i="28"/>
  <c r="G102" i="28" s="1"/>
  <c r="G66" i="28"/>
  <c r="G95" i="28" s="1"/>
  <c r="G75" i="28"/>
  <c r="G104" i="28" s="1"/>
  <c r="G72" i="28"/>
  <c r="G101" i="28" s="1"/>
  <c r="G69" i="28"/>
  <c r="G98" i="28" s="1"/>
  <c r="G64" i="28"/>
  <c r="G93" i="28" s="1"/>
  <c r="G58" i="28"/>
  <c r="G87" i="28" s="1"/>
  <c r="G71" i="28"/>
  <c r="G100" i="28" s="1"/>
  <c r="G57" i="28"/>
  <c r="G86" i="28" s="1"/>
  <c r="G67" i="28"/>
  <c r="G96" i="28" s="1"/>
  <c r="G70" i="28"/>
  <c r="G99" i="28" s="1"/>
  <c r="G63" i="28"/>
  <c r="G92" i="28" s="1"/>
  <c r="G59" i="28"/>
  <c r="G88" i="28" s="1"/>
  <c r="G60" i="28"/>
  <c r="G89" i="28" s="1"/>
  <c r="G54" i="28"/>
  <c r="G56" i="28"/>
  <c r="G85" i="28" s="1"/>
  <c r="G65" i="28"/>
  <c r="G94" i="28" s="1"/>
  <c r="G55" i="28"/>
  <c r="G84" i="28" s="1"/>
  <c r="D76" i="28"/>
  <c r="D83" i="28"/>
  <c r="C59" i="28"/>
  <c r="C61" i="28"/>
  <c r="C60" i="28"/>
  <c r="C67" i="28"/>
  <c r="C66" i="28"/>
  <c r="C54" i="28"/>
  <c r="C68" i="28"/>
  <c r="C69" i="28"/>
  <c r="C65" i="28"/>
  <c r="C72" i="28"/>
  <c r="C57" i="28"/>
  <c r="C64" i="28"/>
  <c r="C75" i="28"/>
  <c r="C74" i="28"/>
  <c r="C73" i="28"/>
  <c r="C56" i="28"/>
  <c r="C58" i="28"/>
  <c r="C71" i="28"/>
  <c r="C63" i="28"/>
  <c r="C70" i="28"/>
  <c r="C55" i="28"/>
  <c r="C62" i="28"/>
  <c r="J83" i="28"/>
  <c r="J76" i="28"/>
  <c r="N23" i="28"/>
  <c r="E57" i="14"/>
  <c r="E84" i="14" s="1"/>
  <c r="E53" i="14"/>
  <c r="E80" i="14" s="1"/>
  <c r="E59" i="14"/>
  <c r="E86" i="14" s="1"/>
  <c r="E52" i="14"/>
  <c r="E79" i="14" s="1"/>
  <c r="E67" i="14"/>
  <c r="E94" i="14" s="1"/>
  <c r="E68" i="14"/>
  <c r="E95" i="14" s="1"/>
  <c r="E55" i="14"/>
  <c r="E82" i="14" s="1"/>
  <c r="E64" i="14"/>
  <c r="E91" i="14" s="1"/>
  <c r="E65" i="14"/>
  <c r="E92" i="14" s="1"/>
  <c r="E56" i="14"/>
  <c r="E83" i="14" s="1"/>
  <c r="E62" i="14"/>
  <c r="E89" i="14" s="1"/>
  <c r="E49" i="14"/>
  <c r="E76" i="14" s="1"/>
  <c r="E70" i="14"/>
  <c r="E97" i="14" s="1"/>
  <c r="E69" i="14"/>
  <c r="E96" i="14" s="1"/>
  <c r="E51" i="14"/>
  <c r="E78" i="14" s="1"/>
  <c r="E63" i="14"/>
  <c r="E90" i="14" s="1"/>
  <c r="E66" i="14"/>
  <c r="E93" i="14" s="1"/>
  <c r="E60" i="14"/>
  <c r="E87" i="14" s="1"/>
  <c r="E58" i="14"/>
  <c r="E85" i="14" s="1"/>
  <c r="E61" i="14"/>
  <c r="E88" i="14" s="1"/>
  <c r="E54" i="14"/>
  <c r="E81" i="14" s="1"/>
  <c r="E50" i="14"/>
  <c r="E77" i="14" s="1"/>
  <c r="E71" i="14"/>
  <c r="C99" i="28" l="1"/>
  <c r="N99" i="28" s="1"/>
  <c r="N70" i="28"/>
  <c r="C98" i="28"/>
  <c r="N98" i="28" s="1"/>
  <c r="N69" i="28"/>
  <c r="C92" i="14"/>
  <c r="F92" i="14" s="1"/>
  <c r="F65" i="14"/>
  <c r="C93" i="14"/>
  <c r="F93" i="14" s="1"/>
  <c r="F66" i="14"/>
  <c r="N63" i="28"/>
  <c r="C92" i="28"/>
  <c r="N92" i="28" s="1"/>
  <c r="C97" i="28"/>
  <c r="N97" i="28" s="1"/>
  <c r="N68" i="28"/>
  <c r="F51" i="14"/>
  <c r="C78" i="14"/>
  <c r="F78" i="14" s="1"/>
  <c r="F49" i="14"/>
  <c r="C76" i="14"/>
  <c r="F76" i="14" s="1"/>
  <c r="N71" i="28"/>
  <c r="C100" i="28"/>
  <c r="N100" i="28" s="1"/>
  <c r="C83" i="28"/>
  <c r="C76" i="28"/>
  <c r="N54" i="28"/>
  <c r="F64" i="14"/>
  <c r="C91" i="14"/>
  <c r="F91" i="14" s="1"/>
  <c r="C97" i="14"/>
  <c r="F97" i="14" s="1"/>
  <c r="F70" i="14"/>
  <c r="N58" i="28"/>
  <c r="C87" i="28"/>
  <c r="N87" i="28" s="1"/>
  <c r="N66" i="28"/>
  <c r="C95" i="28"/>
  <c r="N95" i="28" s="1"/>
  <c r="G76" i="28"/>
  <c r="G83" i="28"/>
  <c r="C85" i="14"/>
  <c r="F85" i="14" s="1"/>
  <c r="F58" i="14"/>
  <c r="F62" i="14"/>
  <c r="C89" i="14"/>
  <c r="F89" i="14" s="1"/>
  <c r="F83" i="28"/>
  <c r="F76" i="28"/>
  <c r="N56" i="28"/>
  <c r="C85" i="28"/>
  <c r="N85" i="28" s="1"/>
  <c r="N67" i="28"/>
  <c r="C96" i="28"/>
  <c r="N96" i="28" s="1"/>
  <c r="C96" i="14"/>
  <c r="F96" i="14" s="1"/>
  <c r="F69" i="14"/>
  <c r="F59" i="14"/>
  <c r="C86" i="14"/>
  <c r="F86" i="14" s="1"/>
  <c r="C102" i="28"/>
  <c r="N102" i="28" s="1"/>
  <c r="N73" i="28"/>
  <c r="C89" i="28"/>
  <c r="N89" i="28" s="1"/>
  <c r="N60" i="28"/>
  <c r="F71" i="14"/>
  <c r="D72" i="14" s="1"/>
  <c r="C98" i="14"/>
  <c r="F61" i="14"/>
  <c r="C88" i="14"/>
  <c r="F88" i="14" s="1"/>
  <c r="I76" i="28"/>
  <c r="I83" i="28"/>
  <c r="C103" i="28"/>
  <c r="N103" i="28" s="1"/>
  <c r="N74" i="28"/>
  <c r="C90" i="28"/>
  <c r="N90" i="28" s="1"/>
  <c r="N61" i="28"/>
  <c r="C80" i="14"/>
  <c r="F80" i="14" s="1"/>
  <c r="F53" i="14"/>
  <c r="C79" i="14"/>
  <c r="F79" i="14" s="1"/>
  <c r="F52" i="14"/>
  <c r="N75" i="28"/>
  <c r="C104" i="28"/>
  <c r="N104" i="28" s="1"/>
  <c r="C88" i="28"/>
  <c r="N88" i="28" s="1"/>
  <c r="N59" i="28"/>
  <c r="F55" i="14"/>
  <c r="C82" i="14"/>
  <c r="F82" i="14" s="1"/>
  <c r="F67" i="14"/>
  <c r="C94" i="14"/>
  <c r="F94" i="14" s="1"/>
  <c r="E98" i="14"/>
  <c r="J105" i="28"/>
  <c r="C93" i="28"/>
  <c r="N93" i="28" s="1"/>
  <c r="N64" i="28"/>
  <c r="F54" i="14"/>
  <c r="C81" i="14"/>
  <c r="F81" i="14" s="1"/>
  <c r="F60" i="14"/>
  <c r="C87" i="14"/>
  <c r="F87" i="14" s="1"/>
  <c r="C86" i="28"/>
  <c r="N86" i="28" s="1"/>
  <c r="N57" i="28"/>
  <c r="D105" i="28"/>
  <c r="F50" i="14"/>
  <c r="C77" i="14"/>
  <c r="F77" i="14" s="1"/>
  <c r="N62" i="28"/>
  <c r="C91" i="28"/>
  <c r="N91" i="28" s="1"/>
  <c r="C101" i="28"/>
  <c r="N101" i="28" s="1"/>
  <c r="N72" i="28"/>
  <c r="C90" i="14"/>
  <c r="F90" i="14" s="1"/>
  <c r="F63" i="14"/>
  <c r="C84" i="14"/>
  <c r="F84" i="14" s="1"/>
  <c r="F57" i="14"/>
  <c r="N55" i="28"/>
  <c r="C84" i="28"/>
  <c r="N84" i="28" s="1"/>
  <c r="C94" i="28"/>
  <c r="N94" i="28" s="1"/>
  <c r="N65" i="28"/>
  <c r="C83" i="14"/>
  <c r="F83" i="14" s="1"/>
  <c r="F56" i="14"/>
  <c r="C95" i="14"/>
  <c r="F95" i="14" s="1"/>
  <c r="F68" i="14"/>
  <c r="E14" i="31" l="1"/>
  <c r="G14" i="31" s="1"/>
  <c r="E27" i="31"/>
  <c r="G27" i="31" s="1"/>
  <c r="E28" i="31"/>
  <c r="G28" i="31" s="1"/>
  <c r="E9" i="31"/>
  <c r="G9" i="31" s="1"/>
  <c r="E7" i="31"/>
  <c r="G7" i="31" s="1"/>
  <c r="F98" i="14"/>
  <c r="E8" i="31"/>
  <c r="G8" i="31" s="1"/>
  <c r="E15" i="31"/>
  <c r="G15" i="31" s="1"/>
  <c r="E21" i="31"/>
  <c r="G21" i="31" s="1"/>
  <c r="E26" i="31"/>
  <c r="G26" i="31" s="1"/>
  <c r="E25" i="31"/>
  <c r="G25" i="31" s="1"/>
  <c r="E16" i="31"/>
  <c r="G16" i="31" s="1"/>
  <c r="E12" i="31"/>
  <c r="G12" i="31" s="1"/>
  <c r="C105" i="28"/>
  <c r="N76" i="28"/>
  <c r="G77" i="28" s="1"/>
  <c r="E18" i="31"/>
  <c r="G18" i="31" s="1"/>
  <c r="E17" i="31"/>
  <c r="G17" i="31" s="1"/>
  <c r="I105" i="28"/>
  <c r="N83" i="28"/>
  <c r="G105" i="28"/>
  <c r="E24" i="31"/>
  <c r="G24" i="31" s="1"/>
  <c r="E20" i="31"/>
  <c r="G20" i="31" s="1"/>
  <c r="E19" i="31"/>
  <c r="G19" i="31" s="1"/>
  <c r="E22" i="31"/>
  <c r="G22" i="31" s="1"/>
  <c r="E72" i="14"/>
  <c r="C72" i="14"/>
  <c r="E11" i="31"/>
  <c r="G11" i="31" s="1"/>
  <c r="E23" i="31"/>
  <c r="G23" i="31" s="1"/>
  <c r="E10" i="31"/>
  <c r="G10" i="31" s="1"/>
  <c r="E13" i="31"/>
  <c r="G13" i="31" s="1"/>
  <c r="F105" i="28"/>
  <c r="J14" i="31" l="1"/>
  <c r="I14" i="31"/>
  <c r="I15" i="31"/>
  <c r="I8" i="31"/>
  <c r="I7" i="31"/>
  <c r="J9" i="31"/>
  <c r="I28" i="31"/>
  <c r="J27" i="31"/>
  <c r="I27" i="31"/>
  <c r="I9" i="31"/>
  <c r="J15" i="31"/>
  <c r="J28" i="31"/>
  <c r="I77" i="28"/>
  <c r="J7" i="31"/>
  <c r="F72" i="14"/>
  <c r="F77" i="28"/>
  <c r="J8" i="31"/>
  <c r="C77" i="28"/>
  <c r="N105" i="28"/>
  <c r="C106" i="28" s="1"/>
  <c r="I12" i="31"/>
  <c r="J12" i="31"/>
  <c r="J16" i="31"/>
  <c r="I16" i="31"/>
  <c r="I22" i="31"/>
  <c r="J22" i="31"/>
  <c r="I19" i="31"/>
  <c r="J19" i="31"/>
  <c r="J20" i="31"/>
  <c r="I20" i="31"/>
  <c r="I17" i="31"/>
  <c r="J17" i="31"/>
  <c r="J13" i="31"/>
  <c r="I13" i="31"/>
  <c r="J25" i="31"/>
  <c r="I25" i="31"/>
  <c r="J10" i="31"/>
  <c r="I10" i="31"/>
  <c r="J26" i="31"/>
  <c r="I26" i="31"/>
  <c r="J23" i="31"/>
  <c r="I23" i="31"/>
  <c r="J18" i="31"/>
  <c r="I18" i="31"/>
  <c r="J21" i="31"/>
  <c r="I21" i="31"/>
  <c r="I11" i="31"/>
  <c r="J11" i="31"/>
  <c r="J24" i="31"/>
  <c r="I24" i="31"/>
  <c r="E29" i="31"/>
  <c r="G29" i="31" s="1"/>
  <c r="M77" i="28"/>
  <c r="H77" i="28"/>
  <c r="E77" i="28"/>
  <c r="K77" i="28"/>
  <c r="L77" i="28"/>
  <c r="D77" i="28"/>
  <c r="J77" i="28"/>
  <c r="I106" i="28" l="1"/>
  <c r="G106" i="28"/>
  <c r="N77" i="28"/>
  <c r="F106" i="28"/>
  <c r="I29" i="31"/>
  <c r="J29" i="31"/>
  <c r="N106" i="28"/>
  <c r="M106" i="28"/>
  <c r="L106" i="28"/>
  <c r="H106" i="28"/>
  <c r="K106" i="28"/>
  <c r="E106" i="28"/>
  <c r="J106" i="28"/>
  <c r="D106" i="28"/>
</calcChain>
</file>

<file path=xl/sharedStrings.xml><?xml version="1.0" encoding="utf-8"?>
<sst xmlns="http://schemas.openxmlformats.org/spreadsheetml/2006/main" count="971" uniqueCount="463">
  <si>
    <t>euroa</t>
  </si>
  <si>
    <t>Palvelutarve, sote</t>
  </si>
  <si>
    <t>HVA-indeksi, sote</t>
  </si>
  <si>
    <t>HVA-indeksi, pela</t>
  </si>
  <si>
    <t>Yhteensä</t>
  </si>
  <si>
    <t>Määräytymistekijät hyvinvointialueittain</t>
  </si>
  <si>
    <t>Hyvinvointialuekoodi</t>
  </si>
  <si>
    <t>Hyvinvointialue</t>
  </si>
  <si>
    <t>Ruotsinkielisten määrä kaksikielisillä hyvinvointialueilla</t>
  </si>
  <si>
    <t>Saamenkielisten määrä hyvinvointialueella, jolla sijaitsee saamelaisten kotiseutualueen kunnat</t>
  </si>
  <si>
    <t>Vieraskielisten määrä</t>
  </si>
  <si>
    <t>Maapinta-ala, km2</t>
  </si>
  <si>
    <t>Asukastiheys</t>
  </si>
  <si>
    <t>Saaristokuntien saaristossa asuvien määrä</t>
  </si>
  <si>
    <t>Helsinki</t>
  </si>
  <si>
    <t>Länsi-Uusimaa</t>
  </si>
  <si>
    <t>Itä-Uusimaa</t>
  </si>
  <si>
    <t>Keski-Uusimaa</t>
  </si>
  <si>
    <t>Varsinais-Suomi</t>
  </si>
  <si>
    <t>Satakunta</t>
  </si>
  <si>
    <t>Kanta-Häme</t>
  </si>
  <si>
    <t>Pirkanmaa</t>
  </si>
  <si>
    <t>Päijät-Häme</t>
  </si>
  <si>
    <t>Kymenlaakso</t>
  </si>
  <si>
    <t>Etelä-Karjala</t>
  </si>
  <si>
    <t>Etelä-Savo</t>
  </si>
  <si>
    <t>Pohjois-Savo</t>
  </si>
  <si>
    <t>Pohjois-Karjala</t>
  </si>
  <si>
    <t>Keski-Suomi</t>
  </si>
  <si>
    <t>Etelä-Pohjanmaa</t>
  </si>
  <si>
    <t>Pohjanmaa</t>
  </si>
  <si>
    <t>Keski-Pohjanmaa</t>
  </si>
  <si>
    <t>Pohjois-Pohjanmaa</t>
  </si>
  <si>
    <t>Kainuu</t>
  </si>
  <si>
    <t>Lappi</t>
  </si>
  <si>
    <t>Manner-Suomi yhteensä</t>
  </si>
  <si>
    <t>Asukasluku</t>
  </si>
  <si>
    <t>Asukastiheyskerroin</t>
  </si>
  <si>
    <t xml:space="preserve">Yhteensä RL I-IV </t>
  </si>
  <si>
    <t>Painotettu summa</t>
  </si>
  <si>
    <t>Riskikerroin</t>
  </si>
  <si>
    <t>Vantaa ja Kerava</t>
  </si>
  <si>
    <t>Terveydenhuollon tarvetekijät</t>
  </si>
  <si>
    <t>Vanhustenhuollon tarvetekijät</t>
  </si>
  <si>
    <t>Sosiaalihuollon tarvetekijät</t>
  </si>
  <si>
    <t>Tuberkuloosi</t>
  </si>
  <si>
    <t>Ruusut</t>
  </si>
  <si>
    <t>Krooniset hankinnaiset ja perinnölliset anemiat, hyytymyshäiriöt, neutropenia</t>
  </si>
  <si>
    <t>Diabetes</t>
  </si>
  <si>
    <t>Lihavuus</t>
  </si>
  <si>
    <t>Päihde- ja riippuvuushäiriöt (pl. Opioidiriippuvuus)</t>
  </si>
  <si>
    <t>Psykoosisairaudet ja kaksisuuntainen mielialahäiriö</t>
  </si>
  <si>
    <t>Masennus- ja ahdistuneisuushäiriöt</t>
  </si>
  <si>
    <t>HIV, C-hepatiitti</t>
  </si>
  <si>
    <t>Dissosiaatio- ja somatisaatiohäiriöt</t>
  </si>
  <si>
    <t>Sekavuustilat ja elimelliset aivo-oireyhtymät</t>
  </si>
  <si>
    <t>Opioidiriippuvuus</t>
  </si>
  <si>
    <t>Hengityshalvaus</t>
  </si>
  <si>
    <t>Parkinson ja muut rappeuttavat liikehäiriösairaudet</t>
  </si>
  <si>
    <t>Epilepsia</t>
  </si>
  <si>
    <t>Älyllinen kehitysvammaisuus</t>
  </si>
  <si>
    <t>CP-oireyhtymä</t>
  </si>
  <si>
    <t>Laaja-alaiset kehityshäiriöt (”autismispektri”)</t>
  </si>
  <si>
    <t>Neuroimmunologiset sairaudet</t>
  </si>
  <si>
    <t>Tarkkaavaisuus- ja käytöshäiriöt</t>
  </si>
  <si>
    <t>Keskushermoston ja ääreishermoston tulehdus/tulehdukselliset sairaudet</t>
  </si>
  <si>
    <t>Hydrokefalus</t>
  </si>
  <si>
    <t>Neuromuskulaarisairaudet</t>
  </si>
  <si>
    <t>Eteisvärinä</t>
  </si>
  <si>
    <t>Sydämen vajaatoiminta</t>
  </si>
  <si>
    <t>Aivoverenkiertohäiriöt</t>
  </si>
  <si>
    <t>Ateroskleroosi</t>
  </si>
  <si>
    <t>Keuhkoveritulppa</t>
  </si>
  <si>
    <t>Refluksi ja ulcus</t>
  </si>
  <si>
    <t>COPD</t>
  </si>
  <si>
    <t>B-hepatiitti</t>
  </si>
  <si>
    <t>Krooniset haavat</t>
  </si>
  <si>
    <t>Ei-tuberkuloottiset mykobakteerit</t>
  </si>
  <si>
    <t>Artroosisairaudet</t>
  </si>
  <si>
    <t>Veneeriset syylät</t>
  </si>
  <si>
    <t>Luukato</t>
  </si>
  <si>
    <t>Munuaissairaudet</t>
  </si>
  <si>
    <t>Virtsakivet ja virtsaushäiriöt</t>
  </si>
  <si>
    <t>Raajakipu</t>
  </si>
  <si>
    <t>Vammat ja myrkytykset</t>
  </si>
  <si>
    <t>Lonkkamurtuma</t>
  </si>
  <si>
    <t>WHO:n näkövammaluokitus, 1. aste</t>
  </si>
  <si>
    <t>WHO:n näkövammaluokitus, 2. aste</t>
  </si>
  <si>
    <t>WHO:n näkövammaluokitus, 3. aste</t>
  </si>
  <si>
    <t>WHO:n näkövammaluokitus, 4. aste</t>
  </si>
  <si>
    <t>WHO:n näkövammaluokitus, 5. aste</t>
  </si>
  <si>
    <t>Työkyvytön, 1. ikäkvantiili</t>
  </si>
  <si>
    <t>Asuntokunnan käyttötulo per kulutusyksiköt, luonnollinen logaritmi</t>
  </si>
  <si>
    <t>Työkyvytön, 2. ikäkvantiili</t>
  </si>
  <si>
    <t>Naimaton</t>
  </si>
  <si>
    <t>Työkyvytön, 3. ikäkvantiili</t>
  </si>
  <si>
    <t>Eronnut</t>
  </si>
  <si>
    <t>Työkyvytön, 4. ikäkvantiili</t>
  </si>
  <si>
    <t>Keskushermostokalvojen ja aivohermojen hyvänlaatuiset kasvaimet</t>
  </si>
  <si>
    <t>Leski</t>
  </si>
  <si>
    <t>Työkyvytön, 5. ikäkvantiili</t>
  </si>
  <si>
    <t>Kasvu- ja leviämistaipumukseltaan epäselvät tai tuntemattomat kasvaimet</t>
  </si>
  <si>
    <t>Työllinen</t>
  </si>
  <si>
    <t>Opiskelija</t>
  </si>
  <si>
    <t>Immuunipuutokset / immunol. Häiriöt</t>
  </si>
  <si>
    <t>Varusmies</t>
  </si>
  <si>
    <t>Amyloidoosit</t>
  </si>
  <si>
    <t>Kilpirauhasen vajaatoiminta</t>
  </si>
  <si>
    <t>Hypertyreoosi</t>
  </si>
  <si>
    <t>Struuma</t>
  </si>
  <si>
    <t>Hyperparatyreoosi</t>
  </si>
  <si>
    <t>Yhden aikuisen perhe</t>
  </si>
  <si>
    <t>Tupakoinnnin aiheuttamat haitat</t>
  </si>
  <si>
    <t>Laihuushäiriö</t>
  </si>
  <si>
    <t>Syömishäiriöt (pl. Laihuushäiriö)</t>
  </si>
  <si>
    <t>Unihäiriöt</t>
  </si>
  <si>
    <t>Persoonallisuushäiriöt</t>
  </si>
  <si>
    <t>Oppimiskyvyn vaikeudet yhdistettynä muihin kuin laaja-alaisiin kehityshäiriöihin</t>
  </si>
  <si>
    <t>Määrittämätön mielenterveyden häiriö</t>
  </si>
  <si>
    <t>Uniapnea</t>
  </si>
  <si>
    <t>Migreeni ja muut päänsärkysairaudet, muu krooninen kipu</t>
  </si>
  <si>
    <t>Allerginen silmätulehdus + allerginen nuha</t>
  </si>
  <si>
    <t>Silmien rappeumataudit</t>
  </si>
  <si>
    <t>Glaukooma</t>
  </si>
  <si>
    <t>Silmien sarveiskalvosairaudet</t>
  </si>
  <si>
    <t>Silmien verkkokalvoirtaumat ja verisuonitukokset</t>
  </si>
  <si>
    <t>Silmien taittovirheet</t>
  </si>
  <si>
    <t>Silmien lasiaissairaudet</t>
  </si>
  <si>
    <t>Korvakirurgia</t>
  </si>
  <si>
    <t>Huimaus/Korvan tasapainoelimen häiriöt</t>
  </si>
  <si>
    <t>Johtumistyyppinen ja sensorineuraalinen kuulonalenema</t>
  </si>
  <si>
    <t>Verenpainetauti</t>
  </si>
  <si>
    <t>Sepelvaltimotauti</t>
  </si>
  <si>
    <t>Sydämen läppäsairaudet</t>
  </si>
  <si>
    <t>Kardiomyopatiat</t>
  </si>
  <si>
    <t>Sydämen johtumishäiriöt</t>
  </si>
  <si>
    <t>Rinta-aortan aneurysmat</t>
  </si>
  <si>
    <t>Astma</t>
  </si>
  <si>
    <t>Keuhkokudoksen sairaudet</t>
  </si>
  <si>
    <t>Purentaelimen poikkeavuudet</t>
  </si>
  <si>
    <t>Suun protetiikka</t>
  </si>
  <si>
    <t>Divertikkelit ja ärtyvä suoli</t>
  </si>
  <si>
    <t>Sappirakon ja sappiteiden sairaudet</t>
  </si>
  <si>
    <t>Maksan tulehdussairaudet ja vajaatoiminta</t>
  </si>
  <si>
    <t>Crohnin tauti ja haavainen koliitti</t>
  </si>
  <si>
    <t>Keliakia</t>
  </si>
  <si>
    <t>Atooppinen ekseema</t>
  </si>
  <si>
    <t>Psoriaasi</t>
  </si>
  <si>
    <t>Allerginen kosketusihottuma</t>
  </si>
  <si>
    <t>Aktiininen keratoosi</t>
  </si>
  <si>
    <t>Muualla luokittelemattomat muut nivelsairaudet</t>
  </si>
  <si>
    <t>Selkärangan sairaudet</t>
  </si>
  <si>
    <t>Varpaiden hankinnaiset epämuotoisuudet</t>
  </si>
  <si>
    <t>Munuaisten vajaatoiminta</t>
  </si>
  <si>
    <t>Endometrioosi</t>
  </si>
  <si>
    <t>Kohdunkaulan dysplasia</t>
  </si>
  <si>
    <t>Kuukautisvuotohäiriöt</t>
  </si>
  <si>
    <t>Miehen sukupuolielinten sairaudet</t>
  </si>
  <si>
    <t>Asukasperusteisuus</t>
  </si>
  <si>
    <t>Terveydenhuollon palvelutarve</t>
  </si>
  <si>
    <t>Vanhustenhuollon palvelutarve</t>
  </si>
  <si>
    <t>Sosiaalihuollon palvelutarve</t>
  </si>
  <si>
    <t>Vieraskielisyys</t>
  </si>
  <si>
    <t>Kaksikielisyys</t>
  </si>
  <si>
    <t>Saaristoisuus</t>
  </si>
  <si>
    <t>Hyte-kriteeri</t>
  </si>
  <si>
    <t>Saamenkielisyys</t>
  </si>
  <si>
    <t>Määräytymistekijöiden perushinnat</t>
  </si>
  <si>
    <t>Sote-palvelutarve yhteensä</t>
  </si>
  <si>
    <t>Terveydenhuollon palvelutarvekerroin</t>
  </si>
  <si>
    <t>Vanhustenhuollon palvelutarvekerroin</t>
  </si>
  <si>
    <t>Sosiaalihuollon palvelutarvekerroin</t>
  </si>
  <si>
    <t>Saaristokuntien saaristossa asuvan väestön määrä</t>
  </si>
  <si>
    <t xml:space="preserve">Saamenkielisten määrä hyvinvointialueella, jolla sijaitsee saamelaisten kotiseutualueen kunnat </t>
  </si>
  <si>
    <t>Osuus sote-rahoituksesta</t>
  </si>
  <si>
    <t>Pelastustoimen laskennallinen rahoitus</t>
  </si>
  <si>
    <t>Kriteeri</t>
  </si>
  <si>
    <t>Riskitekijät</t>
  </si>
  <si>
    <t>Osuus pela-rahoituksesta</t>
  </si>
  <si>
    <t>kohdennus</t>
  </si>
  <si>
    <t>Yo-lisä</t>
  </si>
  <si>
    <t>Yo-sairaala-alueen asuakasluku</t>
  </si>
  <si>
    <t>Nainen</t>
  </si>
  <si>
    <t>Muistisairaudet ja Alzheimerin tauti</t>
  </si>
  <si>
    <t xml:space="preserve">Keuhkokuume </t>
  </si>
  <si>
    <t>Hengityselinten krooninen toimintavajaus</t>
  </si>
  <si>
    <t>Hammaskaries ja hammasytimen ja hampaanjuuren kärkeä ympäröivien kudosten sairaudet</t>
  </si>
  <si>
    <t>Nivelreuma</t>
  </si>
  <si>
    <t>Hedelmättömyys</t>
  </si>
  <si>
    <t>Transsukupuolisuus ja määrittämätön sukupuoli-identiteetin häiriö</t>
  </si>
  <si>
    <t>Näkövammaisuus (ne, joilla ei tietoa WHO-luokituksesta)</t>
  </si>
  <si>
    <t>Keuhkokuume</t>
  </si>
  <si>
    <t>Olkapään vaivat</t>
  </si>
  <si>
    <t>Polven sisäiset viat</t>
  </si>
  <si>
    <t>Synnytys</t>
  </si>
  <si>
    <t>Kokonaispinta-ala, km2</t>
  </si>
  <si>
    <t>Yhteensä, euroa</t>
  </si>
  <si>
    <t xml:space="preserve"> </t>
  </si>
  <si>
    <t>Pelastustoimen laskennallinen rahoitus, euroa yhteensä</t>
  </si>
  <si>
    <t>Pelastustoimen laskennallinen rahoitus, euroa/asukas</t>
  </si>
  <si>
    <t>Sosiaali- ja terveyspalveluiden laskennallinen rahoitus</t>
  </si>
  <si>
    <t xml:space="preserve">Sosiaali- ja terveyspalveluiden laskennallinen rahoitus, euroa yhteensä </t>
  </si>
  <si>
    <t>Sosiaali- ja terveyspalveluiden laskennallinen rahoitus, euroa/asukas</t>
  </si>
  <si>
    <t>Hyvinvointialueindeksi</t>
  </si>
  <si>
    <t>Yleinen ansiotasoindeksi</t>
  </si>
  <si>
    <t>Paino</t>
  </si>
  <si>
    <t>Kuluttajahintaindeksi</t>
  </si>
  <si>
    <t>Työantajien sotumaksut</t>
  </si>
  <si>
    <t>Hyvinvointialueindeksin laskenta</t>
  </si>
  <si>
    <t>Indeksi</t>
  </si>
  <si>
    <t>Ajokorttitarkastusten rajaaminen julkisen palveluvalikoiman ulkopuolelle (Lisätoimet 2024)</t>
  </si>
  <si>
    <t>Laskennallinen rahoitus yhteensä vuonna 2025</t>
  </si>
  <si>
    <t>Yhteensä, e/as.</t>
  </si>
  <si>
    <t>Määräytymistekijät ja kertoimet</t>
  </si>
  <si>
    <t>TH:n tarvekerroin painotettu asukasluvulla</t>
  </si>
  <si>
    <t>VH:n tarvekerroin painotettu  asukasluvulla</t>
  </si>
  <si>
    <t>SH:n tarvekerroin painotettu asukasluvulla</t>
  </si>
  <si>
    <t>Sote-tehtävämuutokset, yhteensä</t>
  </si>
  <si>
    <t>Pela-tehtävämuutokset, yhteensä</t>
  </si>
  <si>
    <t>Kriteerin perushinta</t>
  </si>
  <si>
    <t>Hyte-kerroin</t>
  </si>
  <si>
    <t>Lisätietoja:</t>
  </si>
  <si>
    <t>02955 30560 / etunimi.sukunimi@gov.fi</t>
  </si>
  <si>
    <t>Manner-Suomi</t>
  </si>
  <si>
    <t>Rokotuskattavuus</t>
  </si>
  <si>
    <t>Lonkkamurtumat</t>
  </si>
  <si>
    <t>NEET</t>
  </si>
  <si>
    <t>Toimeentulotuki</t>
  </si>
  <si>
    <t>Työkyvyttömyys</t>
  </si>
  <si>
    <t>Asukasluku 2024</t>
  </si>
  <si>
    <t>Rahoituksen taso vuonna 2026</t>
  </si>
  <si>
    <t>Laskennallinen sote-rahoitus (sis. jälkikäteistarkistus) vuonna 2025</t>
  </si>
  <si>
    <t>Laskennallinen pela-rahoitus (sis. jälkikäteistarkistus) vuonna 2025</t>
  </si>
  <si>
    <t>Laskennallinen sote-rahoitus vuonna 2026</t>
  </si>
  <si>
    <t>Laskennallinen pela-rahoitus vuonna 2026</t>
  </si>
  <si>
    <t>Laskennallinen rahoitus yhteensä vuonna 2026</t>
  </si>
  <si>
    <t>Siirtymätasaukset vuonna 2026</t>
  </si>
  <si>
    <t>Rahoitus yhteensä vuonna 2026</t>
  </si>
  <si>
    <t>Laskennallinen rahoitus vuonna 2026, euroa</t>
  </si>
  <si>
    <t>Siirtymätasaus vuonna 2026, euroa</t>
  </si>
  <si>
    <t>Vuoden 2026 rahoitus yhteensä, euroa</t>
  </si>
  <si>
    <t>Vuoden 2026 rahoitus yhteensä, euroa/asukas</t>
  </si>
  <si>
    <t>Rahoituksen kasvu vuodelle 2026, euroa</t>
  </si>
  <si>
    <t>Yhteenveto hyvinvointialueiden vuoden 2026 rahoituksesta</t>
  </si>
  <si>
    <t>Yhteenveto hyvinvointialueiden rahoituksesta vuodelle 2026</t>
  </si>
  <si>
    <t>Laskennallisen sote-rahoituksen määräytymistekijät hyvinvointialueittain, 2024</t>
  </si>
  <si>
    <t>TH:n tarvekerroin 2023</t>
  </si>
  <si>
    <t>VH:n tarvekerroin 2023</t>
  </si>
  <si>
    <t>SH:n tarvekerroin 2023</t>
  </si>
  <si>
    <t>Hyte-kerroin hyvinvointialueittain</t>
  </si>
  <si>
    <t>Vuoden 2026 tasoon korotettu sote-rahoitus</t>
  </si>
  <si>
    <t>Tehtävämuutokset vuonna 2026</t>
  </si>
  <si>
    <t>Sote-nettokustannukset</t>
  </si>
  <si>
    <t>Pela-nettokustannukset</t>
  </si>
  <si>
    <t>Sote-rahoitus ja sote-nettokustannus erotus</t>
  </si>
  <si>
    <t>Pela-rahoitus ja pela-nettokustannus erotus</t>
  </si>
  <si>
    <t>Nettokustannukset yhteensä</t>
  </si>
  <si>
    <t>Alueille myönnetty rahoitus yhteensä</t>
  </si>
  <si>
    <t>Alueille myönnetty sote-rahoitus yhteensä</t>
  </si>
  <si>
    <t>Alueille myönnetty pela-rahoitus yhteensä</t>
  </si>
  <si>
    <t>Rahoitus ja nettokustannus erotus yhteensä</t>
  </si>
  <si>
    <t>Jälkikäteistarkistuksen vuosittainen lisäys/vähennys yhteensä</t>
  </si>
  <si>
    <t>Rahoitukseen sisältyvä jälkikäteistarkistus yhteensä</t>
  </si>
  <si>
    <t>Sote-rahoitukseen vuosittain lisättävä tai siitä vähennettävä jälkikäteistarkistus</t>
  </si>
  <si>
    <t>Pela-rahoitukseen vuosittain lisättävä tai siitä vähennettävä jälkikäteistarkistus</t>
  </si>
  <si>
    <t>Terveydenhuollon, vanhustenhuollon ja sosiaalihuollon tarvekertoimissa huomioitavat tarvetekijät</t>
  </si>
  <si>
    <t>Rahoituksen jälkikäteistarkistus vuonna 2026</t>
  </si>
  <si>
    <t>Jälkikäteistarkistuksen laskenta vuosina 2025 ja 2026</t>
  </si>
  <si>
    <t>Alle 1-vuotias, nainen</t>
  </si>
  <si>
    <t>1-6-vuotias, nainen</t>
  </si>
  <si>
    <t>7-12-vuotias, nainen</t>
  </si>
  <si>
    <t>13-18-vuotias, nainen</t>
  </si>
  <si>
    <t>19-25-vuotias, nainen</t>
  </si>
  <si>
    <t>26-30-vuotias, nainen</t>
  </si>
  <si>
    <t>31-35-vuotias, nainen</t>
  </si>
  <si>
    <t>36-40-vuotias, nainen</t>
  </si>
  <si>
    <t>41-45-vuotias, nainen</t>
  </si>
  <si>
    <t>46-50-vuotias, nainen</t>
  </si>
  <si>
    <t>51-55-vuotias, nainen</t>
  </si>
  <si>
    <t>56-60-vuotias, nainen</t>
  </si>
  <si>
    <t>61-65-vuotias, nainen</t>
  </si>
  <si>
    <t>66-70-vuotias, nainen</t>
  </si>
  <si>
    <t>71-75-vuotias, nainen</t>
  </si>
  <si>
    <t>76-80-vuotias, nainen</t>
  </si>
  <si>
    <t>81-85-vuotias, nainen</t>
  </si>
  <si>
    <t>86-90-vuotias, nainen</t>
  </si>
  <si>
    <t>91-95-vuotias, nainen</t>
  </si>
  <si>
    <t>Yli 96-vuotias, nainen</t>
  </si>
  <si>
    <t>Alle 1-vuotias, mies</t>
  </si>
  <si>
    <t>1-6-vuotias, mies</t>
  </si>
  <si>
    <t>7-12-vuotias, mies</t>
  </si>
  <si>
    <t>13-18-vuotias, mies</t>
  </si>
  <si>
    <t>19-25-vuotias, mies</t>
  </si>
  <si>
    <t>26-30-vuotias, mies</t>
  </si>
  <si>
    <t>31-35-vuotias, mies</t>
  </si>
  <si>
    <t>36-40-vuotias, mies</t>
  </si>
  <si>
    <t>46-50-vuotias, mies</t>
  </si>
  <si>
    <t>51-55-vuotias, mies</t>
  </si>
  <si>
    <t>56-60-vuotias, mies</t>
  </si>
  <si>
    <t>61-65-vuotias, mies</t>
  </si>
  <si>
    <t>66-70-vuotias, mies</t>
  </si>
  <si>
    <t>71-75-vuotias, mies</t>
  </si>
  <si>
    <t>76-80-vuotias, mies</t>
  </si>
  <si>
    <t>81-85-vuotias, mies</t>
  </si>
  <si>
    <t>86-90-vuotias, mies</t>
  </si>
  <si>
    <t>91-95-vuotias, mies</t>
  </si>
  <si>
    <t>Yli 96-vuotias, mies</t>
  </si>
  <si>
    <t xml:space="preserve">Huulen, suun ja nielun pahanlaatuiset kasvaimet </t>
  </si>
  <si>
    <t xml:space="preserve">Ruuansulatuselinten pahanlaatuiset kasvaimet </t>
  </si>
  <si>
    <t>Hengityselinten ja rintaontelon elinten pahanlaatuiset kasvaimet</t>
  </si>
  <si>
    <t>Luun ja nivelruston pahanlaatuiset kasvaimet</t>
  </si>
  <si>
    <t xml:space="preserve">Ihon melanooma ja muut pahanlaatuiset ihokasvaimet </t>
  </si>
  <si>
    <t xml:space="preserve">Muut pehmytkudoksen pahanlaatuiset kasvaimet </t>
  </si>
  <si>
    <t>Rintasyöpä</t>
  </si>
  <si>
    <t xml:space="preserve">Naisen sukupuolielinten pahanlaatuiset kasvaimet </t>
  </si>
  <si>
    <t xml:space="preserve">Miehen sukupuolielinten pahanlaatuiset kasvaimet </t>
  </si>
  <si>
    <t>Virtsaelinten pahanlaatuiset kasvaimet</t>
  </si>
  <si>
    <t xml:space="preserve">Silmän, keskushermoston ja aivohermojen pahanlaatuiset kasvaimet </t>
  </si>
  <si>
    <t xml:space="preserve">Kilpirauhasen ja muiden umpirauhasten pahanlaatuiset kasvaimet </t>
  </si>
  <si>
    <t>Pahanlaatuiset kasvaimet, joiden sijaintipaikka on epäselvä, sekundaarinen tai m</t>
  </si>
  <si>
    <t>Imukudoksen, verta muodostavien kudosten ja lähisukuisten kudosten pahanlaatuise</t>
  </si>
  <si>
    <t>Pintasyövät</t>
  </si>
  <si>
    <t xml:space="preserve">Hengityselinten krooninen toimintavajaus </t>
  </si>
  <si>
    <t>Hampaan kiinnityskudosten sairaudet</t>
  </si>
  <si>
    <t>WHO:n näkövammaluokitus, 9. aste (määrittelemätön)</t>
  </si>
  <si>
    <t>Synnytyksen ennenaikaisuus päivinä</t>
  </si>
  <si>
    <t>Synnytyksen ennenaikaisuus päivinä, 2. potenssi</t>
  </si>
  <si>
    <t>Toinen aste korkein koulutus</t>
  </si>
  <si>
    <t>Korkeakoulutus</t>
  </si>
  <si>
    <t>Yksinasuja, alle 75-vuotias</t>
  </si>
  <si>
    <t>Yksinasuja, 75-84-vuotias</t>
  </si>
  <si>
    <t>Yksinasuja, 85-89-vuotias</t>
  </si>
  <si>
    <t>Yksinasuja, yli 89-vuotias</t>
  </si>
  <si>
    <t>Taustamaa muu kuin Suomi</t>
  </si>
  <si>
    <t>Matka-aika erikoissairaanhoidon päivystykseen minuutteina</t>
  </si>
  <si>
    <t>Matka-aika erikoissairaanhoidon päivystykseen minuutteina, 2. potenssi</t>
  </si>
  <si>
    <t>Vakiotermi</t>
  </si>
  <si>
    <t>Regressiokerroin</t>
  </si>
  <si>
    <t>65-70-vuotias, nainen</t>
  </si>
  <si>
    <t>Alle 1-vuotias</t>
  </si>
  <si>
    <t>1-6-vuotias</t>
  </si>
  <si>
    <t>7-12-vuotias</t>
  </si>
  <si>
    <t>13-18-vuotias</t>
  </si>
  <si>
    <t>19-25-vuotias</t>
  </si>
  <si>
    <t>26-30-vuotias</t>
  </si>
  <si>
    <t>31-35-vuotias</t>
  </si>
  <si>
    <t>36-40-vuotias</t>
  </si>
  <si>
    <t>46-50-vuotias</t>
  </si>
  <si>
    <t>51-55-vuotias</t>
  </si>
  <si>
    <t>56-60-vuotias</t>
  </si>
  <si>
    <t>61-65-vuotias</t>
  </si>
  <si>
    <t>66-70-vuotias</t>
  </si>
  <si>
    <t>71-75-vuotias</t>
  </si>
  <si>
    <t>76-80-vuotias</t>
  </si>
  <si>
    <t>81-85-vuotias</t>
  </si>
  <si>
    <t>86-90-vuotias</t>
  </si>
  <si>
    <t>91-95-vuotias</t>
  </si>
  <si>
    <t>Yli 96-vuotias</t>
  </si>
  <si>
    <t xml:space="preserve">Sarakkeissa J, K ja L on THL:n tuottamat aluekohtaiset tarvekertoimet, jotka on huomioitu SOTE laskennallinen rahoitus-välilehdellä. </t>
  </si>
  <si>
    <t>SH:n tarvekerroin: Keskiarvo 2022–2023</t>
  </si>
  <si>
    <t>VH:n tarvekerroin: Keskiarvo 2022–2023</t>
  </si>
  <si>
    <t>TH:n tarvekerroin: Keskiarvo 2022–2023</t>
  </si>
  <si>
    <t>Vuosien 2022 ja 2023 tietojen perusteella lasketut palvelutarvekertoimet</t>
  </si>
  <si>
    <t>Rahoituslaskelmassa käytettävien palvelutarvekertoimien laskentataulukko</t>
  </si>
  <si>
    <t>Terveydenhuollon, vanhustenhuollon ja sosiaalihuollon palvelutarvekertoimet hyvinvointialueittain</t>
  </si>
  <si>
    <t>Valtiovarainministeriö, Hyvinvointialueiden ohjausosasto</t>
  </si>
  <si>
    <t>02955 30472 / etunimi.sukunimi@gov.fi</t>
  </si>
  <si>
    <t>Prosessi- ja tulosindikaattorien keskiarvo</t>
  </si>
  <si>
    <t>Tuentarve 4</t>
  </si>
  <si>
    <t>Tuentarve 8</t>
  </si>
  <si>
    <t>Mini-interventio</t>
  </si>
  <si>
    <t>Työttömien terveystarkastukset</t>
  </si>
  <si>
    <t>Prosessi-indikaattorien keskiarvo</t>
  </si>
  <si>
    <t>Tulosindikaattorien keskiarvo</t>
  </si>
  <si>
    <t>Indikaattorien keskiarvo</t>
  </si>
  <si>
    <t>Rahoituslaskelmassa käytettävä TH:n palvelutarvekerroin</t>
  </si>
  <si>
    <t>Rahoituslaskelmassa käytettävä VH:n palvelutarvekerroin</t>
  </si>
  <si>
    <t>Rahoituslaskelmassa käytettävä SH:n palvelutarvekerroin</t>
  </si>
  <si>
    <t>Rahoituslaskelmassa käytettävä hyte-kerroin</t>
  </si>
  <si>
    <t>Rahoituslaskelmassa käytettävän hyte-kertoimen laskentataulukko</t>
  </si>
  <si>
    <t>Keskiarvo</t>
  </si>
  <si>
    <t>Painotettu keskiarvo</t>
  </si>
  <si>
    <t>Koko laskennallinen sote-rahoitus</t>
  </si>
  <si>
    <t>Terveydenhuolto</t>
  </si>
  <si>
    <t>Sosiaalihuolto</t>
  </si>
  <si>
    <t>Vanhustenhuolto</t>
  </si>
  <si>
    <t>Kriteerin osuus rahoituslakiesityksen mukaisesti</t>
  </si>
  <si>
    <t>Kriteerille kohdistuva laskennallinen sote-rahoitus yhteensä</t>
  </si>
  <si>
    <t xml:space="preserve">Kriteerin osuus vuoden 2026 laskennallisesta sote-rahoituksesta </t>
  </si>
  <si>
    <t>Laskennallisen pelastustoimen rahoituksen määräytymistekijät hyvinvointialueittain</t>
  </si>
  <si>
    <t>Lähde: Tilastokeskus 4.4.2025 (vuoden 2024 väestörakennetilasto)</t>
  </si>
  <si>
    <t>Sote-rahoitukseen sisältyvä jälkikäteistarkistuksen määrä yhteensä</t>
  </si>
  <si>
    <t>Pela-rahoitukseen sisältyvä jälkikäteistarkistuksen määrä yhteensä</t>
  </si>
  <si>
    <t>Tällä välilehdellä kuvataan hyvinvointialueiden vuoden 2026 rahoituksen muodostuminen koko maan tasolla.</t>
  </si>
  <si>
    <t>Jälkikäteistarkistuksen vuosittainen lisäys/vähennys, sote</t>
  </si>
  <si>
    <t>Jälkikäteistarkistuksen vuosittainen lisäys/vähennys, pela</t>
  </si>
  <si>
    <t>Jälkikäteistarkistuksen vuosittainen lisäys/vähennys, yhteensä</t>
  </si>
  <si>
    <t>Laskennallinen sote-rahoitus yhteensä vuonna 2026</t>
  </si>
  <si>
    <t>Sosiaali- ja terveydenhuollon laskennallinen rahoitus</t>
  </si>
  <si>
    <t>Vuoden 2026 jälkikäteistarkistus omavastuulla</t>
  </si>
  <si>
    <t>Vuoden 2026 jälkikäteistarkistus ilman omavastuuta</t>
  </si>
  <si>
    <t>Omavastuun rahoitusta lisäävä vaikutus v. 2026</t>
  </si>
  <si>
    <t>Käyttämättä jääneen palvelun maksun korotus</t>
  </si>
  <si>
    <t>Omaishoidon ja perhehoidon palkkiotason nostaminen</t>
  </si>
  <si>
    <r>
      <t>Tarvekertoimet-välilehdellä on kuvattu aluekohtaiset tarvekertoimet, jotka on laskettu THL:n tutkimuksen mukaisena (Sote-rahoituksen tarvevakiointi: Päivitys 2022</t>
    </r>
    <r>
      <rPr>
        <i/>
        <sz val="11"/>
        <rFont val="Arial"/>
        <family val="2"/>
        <scheme val="major"/>
      </rPr>
      <t>, https://urn.fi/URN:ISBN:978-952-343-876-7</t>
    </r>
    <r>
      <rPr>
        <sz val="11"/>
        <rFont val="Arial"/>
        <family val="2"/>
        <scheme val="major"/>
      </rPr>
      <t>). Tarvekertoimet lasketaan erikseen terveydenhuollolle, vanhustenhuollolle ja sosiaalihuollolle. Alla on kuvattu tutkimuksessa käytetyt tarvetekijät ja niiden regressiokertoimet.</t>
    </r>
  </si>
  <si>
    <t>Rahoitukseen sisältyvä jälkikäteistarkistus yhteensä vuonna 2026, euroa</t>
  </si>
  <si>
    <t>Kuntouttavan työtoiminnan aktivointisuunnitelmien hallinnollinen keventäminen (Lisätoimet 2025)</t>
  </si>
  <si>
    <t>Demokratiarahan vähentäminen (Lisätoimet 2025)</t>
  </si>
  <si>
    <t>Vammaispalvelulain muuttaminen PeV:n elämänvaihetta koskevien linjausten mukaiseksi (Lisätoimet 2025)</t>
  </si>
  <si>
    <t>2024</t>
  </si>
  <si>
    <r>
      <t>Rahoituksen taso tarkistetaan rahoituslain 10 §:n perusteella vastaamaan koko maan tasolla toteutuneita kustannuksia jälkikäteen kahden vuoden viiveellä. Vuonna 2025 rahoitukseen lisättiin ensimmäistä kertaa jälkikäteistarkistus (n. 1,4 mrd. euroa) vuoden 2023 yleiskatteisen rahoituksen ja nettokustannusten välisen erotuksen (yksinkertaistetusti tilikauden tuloksen) perusteella. Tämä lisäys jää rahoituksen pohjaan vuodesta 2025 alkaen.</t>
    </r>
    <r>
      <rPr>
        <b/>
        <sz val="11"/>
        <color theme="1"/>
        <rFont val="Arial"/>
        <family val="2"/>
        <scheme val="major"/>
      </rPr>
      <t xml:space="preserve"> Vuodesta 2026 eteenpäin jälkikäteistarkistus määritellään lisäyksenä tai vähennyksenä suhteessa rahoituksen pohjassa jo olevaan jälkikäteistarkistuksen määrään.  </t>
    </r>
  </si>
  <si>
    <t>Rahoituslain mukaisesti jälkikäteistarkistuksessa huomioidaan portaittain kasvava omavastuu vuodesta 2026 alkaen. Omavastuuosuus lasketaan vain jälkikäteistarkistuksena tehtävästä vuosittaisesta rahoituksen lisäyksestä tai vähennyksestä, ei koko rahoitukseen sisältyvästä jälkikäteistarkistuksen määrästä. Omavastuuosuus on 5 prosenttia vuodelle 2026 jälkikäteistarkistuksena tehtävästä vähennyksestä (tai lisäyksestä).</t>
  </si>
  <si>
    <t xml:space="preserve">Keliakiakorvaus, siirto rahoitettavaksi toimeentulotuesta </t>
  </si>
  <si>
    <t>Keliakiakorvauksen laajentaminen, lääkärinlausuntojen lisääntyminen</t>
  </si>
  <si>
    <t>Palvelutarve (sis. 0,2 %-yksikön korotus ja 80% rajaus)</t>
  </si>
  <si>
    <t>Roosa Valkama, erityisasiantuntija</t>
  </si>
  <si>
    <t>Vuoden 2025 rahoitus yhteensä, euroa (24.6.2025)</t>
  </si>
  <si>
    <t>Saaristokuntien saaristossa asuvien määrä päivitetty 22.9.2025.</t>
  </si>
  <si>
    <t>Laskennallinen pela-rahoitus</t>
  </si>
  <si>
    <t>Vuoden 2026 tasoon korotettu pela-rahoitus</t>
  </si>
  <si>
    <t>Laskennallinen pela-rahoitus yhteensä 2026</t>
  </si>
  <si>
    <t>Kriteerille kohdistuva laskennallinen pela-rahoitus yhteensä</t>
  </si>
  <si>
    <t xml:space="preserve">Kriteerin osuus vuoden 2026 laskennallisesta pela-rahoituksesta </t>
  </si>
  <si>
    <t>Tehtävämuutokset, yhteensä</t>
  </si>
  <si>
    <t>Hyvinvointialueindeksi (toteuma)</t>
  </si>
  <si>
    <t>Hyvinvointialueindeksi (ennuste)</t>
  </si>
  <si>
    <t>Sote-rahoituksen tehtävämuutokset v. 2026 yhteensä</t>
  </si>
  <si>
    <t>Pela-rahoituksen tehtävämuutokset v. 2026 yhteensä</t>
  </si>
  <si>
    <t>Vuoden 2026 rahoituksessa huomioitavat tekijät</t>
  </si>
  <si>
    <r>
      <t xml:space="preserve">Alla on kuvattu hyvinvointialueiden vuoden 2026 rahoitus, joka muodostuu laskennallisesta rahoituksesta ja siirtymätasauksesta. </t>
    </r>
    <r>
      <rPr>
        <sz val="11"/>
        <color theme="1"/>
        <rFont val="Arial"/>
        <family val="2"/>
        <scheme val="major"/>
      </rPr>
      <t>Siirtymätasauksen laskenta kuvataan erillisessä laskelmassa (ks. Hyvinvointialueiden rahoituksen siirtymäkausi 2024-2029, 22.9.2025).</t>
    </r>
  </si>
  <si>
    <t>Hyte-kertoimen laskennassa käytettävät indikaattorit (lähde: THL, 1.9.2025)</t>
  </si>
  <si>
    <t>Lähteet: Tilastokeskus 4.4.2025 (vuoden 2024 väestörakennetilasto), Maanmittauslaitos 1.1.2025 (kokonaispinta-ala), Sisäministeriö (riskiruudut)</t>
  </si>
  <si>
    <t>Kaarle Myllyneva, finanssiasiantuntija</t>
  </si>
  <si>
    <t>RL I (2024)</t>
  </si>
  <si>
    <t>RL II (2024)</t>
  </si>
  <si>
    <t>RL III-IV (2025)</t>
  </si>
  <si>
    <t>Tässä työkirjassa kuvataan hyvinvointialueiden vuoden 2026 valtion rahoitus koko maan tasolla sekä aluekohtaisesti.</t>
  </si>
  <si>
    <t>Vuoden 2026 rahoituksessa on huomioitu 1.1.2026 voimaan tulevat rahoituslain ja -asetuksen muutokset, kuten hyvinvoinnin ja terveyden edistämisen määräytymistekijän osuuden nosto noin 1,5 prosenttiin, tarvekertoimien huomioiminen kahden vuoden tarvekertoimien keskiarvona, siirtymätasauksia koskevat kertaluontoiset säästötoimenpiteet sekä pelastustoimen riskikerrointa ja hyte-kertoimen laskentaa koskevat tarkennukset.</t>
  </si>
  <si>
    <t xml:space="preserve">Jälkikäteistarkistus lasketaan erikseen soten ja pelan osalta. Erotukset korotetaan soten osalta palvelutarpeella ja hva-indeksillä ja pelan osalta hva-indeksillä vuoden 2026 tasolle. Jälkikäteistarkistus korotetaan viimeisimpien tietojen mukaisen hyvinvointialueindeksin perusteella. Jälkikäteistarkistuksen kautta tehtävä rahoituksen tason tarkistus jakautuu kaikille hyvinvointialueille rahoituslain määräytymistekijöiden mukaisesti. </t>
  </si>
  <si>
    <r>
      <t>Vuosina 2023–2025 hyte-määräytymistekijällä jaettava rahoitus on kohdennettu asukasmäärän perusteella. Vuodesta 2026 alkaen rahoitus kohdennetaan hyte-kertoimen mukaisesti. Tällä välilehdellä kuvattu hyte-kerroin perustuu THL:n alueiden 31.8.2025 toimittamien tietojen perusteella laskemaan hyte-kertoimeen. Hyte-kertoimen laskennassa on huomioitu 1.1.2026 voimaan tulevan rahoitusasetuksen mukaiset tulosindikaattorien laskentatavan ja toimeentulotuki-indikaattorin muutokse</t>
    </r>
    <r>
      <rPr>
        <sz val="12"/>
        <rFont val="Arial"/>
        <family val="2"/>
        <scheme val="major"/>
      </rPr>
      <t>t.</t>
    </r>
  </si>
  <si>
    <t>Pelastustoimen tehtävien rahoituksen pohjana on vuoden 2025 rahoituksen taso, joka korotetaan vuoden 2026 tasolle hintojen muutoksen perusteella. Pelastustoimen laskennalliseen rahoitukseen sisältyy vuonna 2026 jälkikäteistarkistusta yhteensä n. 46 milj. euroa. Pelastustoimen laskennallisen rahoituksen määräytymistekijät ovat asukasperusteisuus, asukastiheys ja pelastustoimen riskitekijät. Pelastustoimen riskikertoimen laskennassa on huomioitu 1.1.2026 voimaan tulevien rahoituslain ja -asetuksen mukaiset muutokset.</t>
  </si>
  <si>
    <t>Vuoden 2025 rahoituksessa käytetty VH:n tarvekerroin 20222</t>
  </si>
  <si>
    <t>Vuoden 2025 rahoituksessa käytetty TH:n tarvekerroin 2022</t>
  </si>
  <si>
    <t>Vuoden 2025 rahoituksessa käytetty SH:n tarvekerroin 20222</t>
  </si>
  <si>
    <r>
      <t>Rahoituksen ennakoitavuuden parantamiseksi vuoden 2026 rahoituksessa tarvekertoimet lasketaan vuosien 2022 ja 2023 tarvekertoimien keskiarvon perusteella. Vuoden 2023 tietojen perusteella lasketut tarvekertoimet on päivitetty kesäkuussa 2025. Vuoden 2022 tarvekerroin vastaa vuoden 2025 rahoituksessa käytettyä tarvekerrointa. Tarvekerroinlaskelmat on julkaistu THL:n verkkosivuilla (</t>
    </r>
    <r>
      <rPr>
        <i/>
        <sz val="12"/>
        <rFont val="Arial"/>
        <family val="2"/>
        <scheme val="major"/>
      </rPr>
      <t>https://thl.fi/aiheet/sote-palvelujen-johtaminen/rahoitus-ja-kustannukset/hyvinvointialueiden-sote-palvelujen-tarveperustainen-rahoitus</t>
    </r>
    <r>
      <rPr>
        <sz val="12"/>
        <rFont val="Arial"/>
        <family val="2"/>
        <scheme val="major"/>
      </rPr>
      <t>). Kertoimet on laskettu hyvinvointialueiden rahoituslain mukaisten tarvetekijöiden ja niiden regressiokertoimien perusteella (ks. Tarvetekijät-välilehti).</t>
    </r>
  </si>
  <si>
    <t>Vuoden 2026 rahoituksessa huomioitavat tarvekertoimet lasketaan vuoden 2022 tarvekertoimen ja vuoden 2023 tarvekertoimen keskiarvona. Vuoden 2023 tarvekerroin vastaa 26.6.2025 julkaistun rahoituslaskelman mukaista tarvekerrointa. Vuoden 2022 tarvekerroin vastaa vuoden 2025 rahoituksessa käytettyä vuoden 2022 tarvekerrointa.</t>
  </si>
  <si>
    <t>Siirtymätasausten laskenta on kuvattu erillisessä työkirjassa (ks. Hyvinvointialueiden rahoituksen siirtymäkausi 2024-2029, 22.9.2025). Vuoden 2026 rahoituksessa huomioitava hyte-kerroin on päivitetty aluekohtaisiin siirtymätasauksiin.</t>
  </si>
  <si>
    <t>VM/HVO 22.9.2025</t>
  </si>
  <si>
    <t>Vuoden 2026 laskennallisen rahoituksen pohjana on vuoden 2025 laskennallisen rahoituksen taso, joka on yhteensä n. 26,3 mrd. euroa. Rahoitus on korotettu rahoituslain mukaisen palvelutarpeen kasvuarvion (n. 251 milj. euroa) ja hyvinvointialueiden hintaindeksin syksyn 2025 ennusteen (3,25 %) mukaisen kustannustason muutoksen (n. 864 milj. euroa) perusteella vuoden 2026 tasolle. Vuoden 2026 rahoituksessa on otettu huomioon valtion vuoden 2026 talousarvioesityksen mukaiset toimenpiteet vuodelle 2026. Vuonna 2025 rahoitukseen lisättyä jälkikäteistarkistusta vähennetään (n. 200 milj. euroa) vuonna 2026. Koko maan tasolla muodostettu laskennallinen rahoitus jaetaan alueille rahoituslain määräytymistekijöiden perusteella.</t>
  </si>
  <si>
    <r>
      <t xml:space="preserve">Alla olevassa taulukossa kuvattu vuoden 2026 jälkikäteistarkistus perustuu alueiden </t>
    </r>
    <r>
      <rPr>
        <b/>
        <sz val="11"/>
        <rFont val="Arial"/>
        <family val="2"/>
        <scheme val="minor"/>
      </rPr>
      <t xml:space="preserve">8.8.2025 mennessä raportoimiin vuoden 2024 toimialakohtaisiin tilinpäätöstietoihin. </t>
    </r>
    <r>
      <rPr>
        <sz val="11"/>
        <rFont val="Arial"/>
        <family val="2"/>
        <scheme val="minor"/>
      </rPr>
      <t>Vuonna 2026 rahoitukseen tehtävä jälkikäteistarkistus määritellään vertaamalla vuoden 2024 tilikauden tuloksen muutosta vuoteen 2023.</t>
    </r>
    <r>
      <rPr>
        <b/>
        <sz val="11"/>
        <rFont val="Arial"/>
        <family val="2"/>
        <scheme val="minor"/>
      </rPr>
      <t xml:space="preserve"> </t>
    </r>
    <r>
      <rPr>
        <sz val="11"/>
        <rFont val="Arial"/>
        <family val="2"/>
        <scheme val="minor"/>
      </rPr>
      <t>Vuoden 2024 yhteenlaskettu tilikauden tulos (n. –1,1 mrd. euroa) on parantunut vuodesta 2023 (n. –1,3 mrd. euroa). Vuoden 2026 jälkikäteistarkistuksessa rahoituksen pohjaan vuonna lisättyä jälkikäteistarkistusta siten vähennetään noin 200 milj. euroa. Jälkikäteistarkistuksena tehtävä vähennys on omavastuuosudella 5 prosenttia pienempi vuonna 2026. Omavastuuosuus siten lisää rahoitusta noin 10 milj. euroa vuonna 2026. Vuoden 2026 rahoituksen tasoon sisältyy jälkikäteistarkistusta yhteensä noin 1,27 mrd. euroa (huomioituna korotus vuoden 2026 tasolle hyvinvointialueindeksillä ja palvelutarpeen kasvulla).</t>
    </r>
  </si>
  <si>
    <t>Sosiaali- ja terveydenhuollon tehtävien rahoituksen pohjana on vuoden 2025 rahoitus, joka korotetaan vuoden 2026 tasolle palvelutarpeen, hintojen muutoksen ja tehtävämuutosten perusteella. Laskennalliseen sote-rahoitukseen sisältyy vuonna 2026 jälkikäteistarkistusta yhteensä n. 1,2 mrd. euroa. Sosiaali- ja terveydenhuollon tehtävien laskennallisen rahoituksen määräytymistekijät ovat asukasperusteisuus, sote-palvelutarve (joka muodostuu terveydenhuollon, vanhustenhuollon ja sosiaalihuollon palvelutarpeista), vieraskielisyys, kaksikielisyys, asukastiheys, saaristoisuus, saamenkielisyys, hyte-kerroin ja yliopistosairaalalisä. Hyte-perusteinen rahoitus kohdennetaan hyvinvointialueille hyte-kertoimen perusteella vuodesta 2026 alkaen.</t>
  </si>
  <si>
    <t>Vuoden 2026 rahoitus on tarkistettu valtiovarainministeriön kansantalousosaston syksyn 2025 ennusteen mukaisella hyvinvointialueindeksillä THL:n laskemalla palvelutarpeen kasvuarviolla vuodelle 2026. Rahoituksessa on huomioitu vuoden 2026 valtion talousarvioesityksen mukaiset tehtävälainsäädännön muutokset vuodelle 2026. Lisäksi rahoituksessa on huomioitu jälkikäteistarkistus alueiden raportoimien vuoden 2024 tilinpäätöstietojen perusteella. Vuoden 2026 jälkikäteistarkistuksessa rahoituksen pohjaan vuonna 2025 lisättyä jälkikäteistarkistusta vähennetään noin 200 milj. euroa. Jälkikäteistarkistuksena tehtävä vähennys on 5 prosenttia pienempi, sillä siinä huomioidaan omavastuuosuus rahoituslain mukaan. Aluekohtaisessa rahoituksessa on otettu huomioon vuoden 2026 rahoituksessa huomioitava hyte-kerroin alueiden 31.8.2025 mennessä raportoimien tietojen perusteella. Lisäksi sisäministeriö on päivittänyt pelastustoimen riskiruudut syyskuussa.</t>
  </si>
  <si>
    <t>Vammaispalvelulain soveltamisalan muutos (Lisätoimet 2024 ja StVM 28/2024)</t>
  </si>
  <si>
    <t>Hedelmöityshoitojen haittakorvauksen korotus</t>
  </si>
  <si>
    <t xml:space="preserve">Toisiolain muuttaminen, tietoaineistojen käsittelyn laajentaminen </t>
  </si>
  <si>
    <t>Terveystarkastuksista aiheutuva säästö</t>
  </si>
  <si>
    <t>Iäkkäiden ympärivuorokautisen hoivan henkilöstömitoituksen keventäminen teknologiaa hyödyntäen (HO 2023) ja teknologian hyödyntäminen kotihoidossa (Lisätoimet 2025)</t>
  </si>
  <si>
    <t>Sairaaloiden ja päivystysten sekä erikoissairaanhoidon työnjako (HO 2023)</t>
  </si>
  <si>
    <t>Terapiatakuu (Lasten ja nuorten mielenterveyspalveluiden vahvistaminen) (HO 2023)</t>
  </si>
  <si>
    <t>Täydentävä ja ehkäisevä toimeentulotuki (kotoutumislain muutoksen v. 2025 vaikutus) (siirto momentille 32.50.30)</t>
  </si>
  <si>
    <t>Valtion vuoden 2026 talousarvioesityksen mukaiset sote-rahoituksen tehtävämuutokset</t>
  </si>
  <si>
    <t>Valtion vuoden 2026 talousarvioesityksen mukaiset pela-rahoituksen tehtävämuutokset</t>
  </si>
  <si>
    <t>Hyvinvointialueiden rahoituslaskelma vuodelle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</si>
</sst>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
    <numFmt numFmtId="43" formatCode="_-* #,##0.00_-;\-* #,##0.00_-;_-* &quot;-&quot;??_-;_-@_-"/>
    <numFmt numFmtId="164" formatCode="_-* #,##0.00\ _€_-;\-* #,##0.00\ _€_-;_-* &quot;-&quot;??\ _€_-;_-@_-"/>
    <numFmt numFmtId="165" formatCode="#,##0_ ;[Red]\-#,##0\ "/>
    <numFmt numFmtId="166" formatCode="0.000"/>
    <numFmt numFmtId="167" formatCode="0.0"/>
    <numFmt numFmtId="168" formatCode="0.000\ %"/>
    <numFmt numFmtId="169" formatCode="0.0\ %"/>
    <numFmt numFmtId="170" formatCode="#,##0.000"/>
    <numFmt numFmtId="171" formatCode="#,##0.000000"/>
    <numFmt numFmtId="172" formatCode="_-* #,##0_-;\-* #,##0_-;_-* &quot;-&quot;??_-;_-@_-"/>
    <numFmt numFmtId="173" formatCode="_-* #,##0.0000_-;\-* #,##0.0000_-;_-* &quot;-&quot;??_-;_-@_-"/>
    <numFmt numFmtId="174" formatCode="0.00000"/>
    <numFmt numFmtId="175" formatCode="#,##0.00000000"/>
    <numFmt numFmtId="176" formatCode="0.0000\ %"/>
    <numFmt numFmtId="177" formatCode="#,##0.0"/>
    <numFmt numFmtId="178" formatCode="0.0000"/>
  </numFmts>
  <fonts count="67">
    <font>
      <sz val="11"/>
      <color theme="1"/>
      <name val="Arial"/>
      <family val="2"/>
      <scheme val="minor"/>
    </font>
    <font>
      <sz val="11"/>
      <color theme="1"/>
      <name val="Arial"/>
      <family val="2"/>
      <scheme val="minor"/>
    </font>
    <font>
      <sz val="18"/>
      <color theme="3"/>
      <name val="Arial"/>
      <family val="2"/>
      <scheme val="major"/>
    </font>
    <font>
      <b/>
      <sz val="11"/>
      <color theme="3"/>
      <name val="Arial"/>
      <family val="2"/>
      <scheme val="minor"/>
    </font>
    <font>
      <b/>
      <sz val="11"/>
      <color theme="0"/>
      <name val="Arial"/>
      <family val="2"/>
      <scheme val="minor"/>
    </font>
    <font>
      <sz val="10"/>
      <name val="Arial"/>
      <family val="2"/>
    </font>
    <font>
      <sz val="11"/>
      <color theme="1"/>
      <name val="Arial"/>
      <family val="2"/>
      <scheme val="major"/>
    </font>
    <font>
      <sz val="11"/>
      <name val="Arial"/>
      <family val="2"/>
      <scheme val="major"/>
    </font>
    <font>
      <b/>
      <sz val="11"/>
      <name val="Arial"/>
      <family val="2"/>
      <scheme val="major"/>
    </font>
    <font>
      <b/>
      <sz val="11"/>
      <color theme="1"/>
      <name val="Arial"/>
      <family val="2"/>
      <scheme val="major"/>
    </font>
    <font>
      <b/>
      <sz val="11"/>
      <color theme="0"/>
      <name val="Arial"/>
      <family val="2"/>
      <scheme val="major"/>
    </font>
    <font>
      <u/>
      <sz val="11"/>
      <color theme="1"/>
      <name val="Arial"/>
      <family val="2"/>
      <scheme val="major"/>
    </font>
    <font>
      <sz val="11"/>
      <name val="Arial"/>
      <family val="2"/>
    </font>
    <font>
      <sz val="11"/>
      <color rgb="FFFF0000"/>
      <name val="Arial"/>
      <family val="2"/>
    </font>
    <font>
      <b/>
      <sz val="11"/>
      <color rgb="FFFF0000"/>
      <name val="Arial"/>
      <family val="2"/>
      <scheme val="major"/>
    </font>
    <font>
      <sz val="11"/>
      <color rgb="FFFF0000"/>
      <name val="Arial"/>
      <family val="2"/>
      <scheme val="major"/>
    </font>
    <font>
      <b/>
      <sz val="11"/>
      <color theme="3"/>
      <name val="Arial"/>
      <family val="2"/>
      <scheme val="major"/>
    </font>
    <font>
      <sz val="12"/>
      <name val="Arial"/>
      <family val="2"/>
      <scheme val="major"/>
    </font>
    <font>
      <b/>
      <sz val="12"/>
      <name val="Arial"/>
      <family val="2"/>
      <scheme val="major"/>
    </font>
    <font>
      <sz val="11"/>
      <color rgb="FF000000"/>
      <name val="Calibri"/>
      <family val="2"/>
    </font>
    <font>
      <b/>
      <sz val="12"/>
      <color theme="1"/>
      <name val="Arial"/>
      <family val="2"/>
      <scheme val="major"/>
    </font>
    <font>
      <b/>
      <sz val="12"/>
      <color theme="0"/>
      <name val="Arial"/>
      <family val="2"/>
      <scheme val="major"/>
    </font>
    <font>
      <sz val="12"/>
      <color theme="0"/>
      <name val="Arial"/>
      <family val="2"/>
      <scheme val="major"/>
    </font>
    <font>
      <sz val="12"/>
      <color rgb="FFFF0000"/>
      <name val="Arial"/>
      <family val="2"/>
      <scheme val="major"/>
    </font>
    <font>
      <sz val="12"/>
      <color theme="1"/>
      <name val="Arial"/>
      <family val="2"/>
      <scheme val="major"/>
    </font>
    <font>
      <sz val="12"/>
      <color theme="1"/>
      <name val="Arial"/>
      <family val="2"/>
      <scheme val="minor"/>
    </font>
    <font>
      <i/>
      <sz val="12"/>
      <name val="Arial"/>
      <family val="2"/>
      <scheme val="major"/>
    </font>
    <font>
      <sz val="12"/>
      <color theme="0" tint="-0.249977111117893"/>
      <name val="Arial"/>
      <family val="2"/>
      <scheme val="major"/>
    </font>
    <font>
      <b/>
      <sz val="12"/>
      <color theme="0" tint="-0.249977111117893"/>
      <name val="Arial"/>
      <family val="2"/>
      <scheme val="major"/>
    </font>
    <font>
      <b/>
      <strike/>
      <sz val="11"/>
      <color theme="1"/>
      <name val="Arial"/>
      <family val="2"/>
      <scheme val="major"/>
    </font>
    <font>
      <b/>
      <sz val="11"/>
      <color theme="1"/>
      <name val="Arial"/>
      <family val="2"/>
      <scheme val="minor"/>
    </font>
    <font>
      <b/>
      <sz val="12"/>
      <color theme="1"/>
      <name val="Arial"/>
      <family val="2"/>
      <scheme val="minor"/>
    </font>
    <font>
      <sz val="12"/>
      <name val="Arial"/>
      <family val="2"/>
      <scheme val="major"/>
    </font>
    <font>
      <b/>
      <sz val="12"/>
      <color theme="0"/>
      <name val="Arial"/>
      <family val="2"/>
      <scheme val="major"/>
    </font>
    <font>
      <b/>
      <i/>
      <sz val="12"/>
      <name val="Arial"/>
      <family val="2"/>
      <scheme val="major"/>
    </font>
    <font>
      <i/>
      <sz val="12"/>
      <color theme="1"/>
      <name val="Arial"/>
      <family val="2"/>
      <scheme val="minor"/>
    </font>
    <font>
      <sz val="11"/>
      <name val="Arial"/>
      <family val="2"/>
      <scheme val="major"/>
    </font>
    <font>
      <sz val="11"/>
      <name val="Arial"/>
      <family val="2"/>
      <scheme val="minor"/>
    </font>
    <font>
      <sz val="11"/>
      <color rgb="FFFF0000"/>
      <name val="Arial"/>
      <family val="2"/>
      <scheme val="minor"/>
    </font>
    <font>
      <sz val="11"/>
      <color theme="1"/>
      <name val="Arial"/>
      <family val="2"/>
      <scheme val="major"/>
    </font>
    <font>
      <b/>
      <sz val="13"/>
      <color theme="3"/>
      <name val="Arial"/>
      <family val="2"/>
      <scheme val="minor"/>
    </font>
    <font>
      <b/>
      <sz val="16"/>
      <color theme="3"/>
      <name val="Arial"/>
      <family val="2"/>
      <scheme val="major"/>
    </font>
    <font>
      <b/>
      <sz val="14"/>
      <color theme="3"/>
      <name val="Arial"/>
      <family val="2"/>
      <scheme val="major"/>
    </font>
    <font>
      <sz val="12"/>
      <name val="Arial"/>
      <family val="2"/>
      <scheme val="minor"/>
    </font>
    <font>
      <i/>
      <sz val="11"/>
      <color rgb="FFFF0000"/>
      <name val="Arial"/>
      <family val="2"/>
      <scheme val="minor"/>
    </font>
    <font>
      <i/>
      <sz val="11"/>
      <name val="Arial"/>
      <family val="2"/>
      <scheme val="major"/>
    </font>
    <font>
      <i/>
      <sz val="11"/>
      <color theme="1"/>
      <name val="Arial"/>
      <family val="2"/>
      <scheme val="minor"/>
    </font>
    <font>
      <sz val="10"/>
      <color theme="1"/>
      <name val="Arial"/>
      <family val="2"/>
    </font>
    <font>
      <b/>
      <sz val="11"/>
      <color rgb="FFFF0000"/>
      <name val="Arial"/>
      <family val="2"/>
      <scheme val="minor"/>
    </font>
    <font>
      <strike/>
      <sz val="11"/>
      <color theme="1"/>
      <name val="Arial"/>
      <family val="2"/>
      <scheme val="major"/>
    </font>
    <font>
      <sz val="11"/>
      <color theme="1"/>
      <name val="Arial Narrow"/>
      <family val="2"/>
    </font>
    <font>
      <sz val="10"/>
      <color theme="1"/>
      <name val="Arial Narrow"/>
      <family val="2"/>
    </font>
    <font>
      <sz val="11"/>
      <name val="Arial"/>
      <family val="2"/>
      <scheme val="major"/>
    </font>
    <font>
      <sz val="11"/>
      <color theme="0"/>
      <name val="Arial"/>
      <family val="2"/>
      <scheme val="minor"/>
    </font>
    <font>
      <b/>
      <sz val="12"/>
      <color theme="0"/>
      <name val="Arial"/>
      <family val="2"/>
      <scheme val="minor"/>
    </font>
    <font>
      <sz val="8"/>
      <name val="Arial"/>
      <family val="2"/>
      <scheme val="minor"/>
    </font>
    <font>
      <sz val="8"/>
      <color rgb="FF252627"/>
      <name val="__Open_Sans_9c011f"/>
    </font>
    <font>
      <sz val="8"/>
      <color rgb="FF000000"/>
      <name val="__Open_Sans_9c011f"/>
    </font>
    <font>
      <sz val="8"/>
      <color rgb="FF252627"/>
      <name val="Unset"/>
    </font>
    <font>
      <b/>
      <sz val="13"/>
      <color theme="4"/>
      <name val="Arial"/>
      <family val="2"/>
      <scheme val="minor"/>
    </font>
    <font>
      <b/>
      <i/>
      <sz val="11"/>
      <color theme="1"/>
      <name val="Arial"/>
      <family val="2"/>
      <scheme val="minor"/>
    </font>
    <font>
      <sz val="8"/>
      <color rgb="FF0F0F0F"/>
      <name val="Arial"/>
      <family val="2"/>
      <scheme val="minor"/>
    </font>
    <font>
      <sz val="11"/>
      <color rgb="FFFF0000"/>
      <name val="Calibri"/>
      <family val="2"/>
    </font>
    <font>
      <b/>
      <sz val="11"/>
      <name val="Arial"/>
      <family val="2"/>
      <scheme val="minor"/>
    </font>
    <font>
      <i/>
      <sz val="8"/>
      <color rgb="FFFF0000"/>
      <name val="Arial"/>
      <family val="2"/>
      <scheme val="minor"/>
    </font>
    <font>
      <sz val="10"/>
      <color theme="1"/>
      <name val="Arial"/>
      <family val="2"/>
      <scheme val="major"/>
    </font>
    <font>
      <sz val="11"/>
      <color theme="1"/>
      <name val="Arial"/>
      <scheme val="major"/>
    </font>
  </fonts>
  <fills count="16">
    <fill>
      <patternFill patternType="none"/>
    </fill>
    <fill>
      <patternFill patternType="gray125"/>
    </fill>
    <fill>
      <patternFill patternType="solid">
        <fgColor theme="3"/>
        <bgColor indexed="64"/>
      </patternFill>
    </fill>
    <fill>
      <patternFill patternType="solid">
        <fgColor theme="3" tint="0.79998168889431442"/>
        <bgColor indexed="64"/>
      </patternFill>
    </fill>
    <fill>
      <patternFill patternType="solid">
        <fgColor theme="4"/>
        <bgColor theme="4"/>
      </patternFill>
    </fill>
    <fill>
      <patternFill patternType="solid">
        <fgColor theme="8"/>
        <bgColor indexed="64"/>
      </patternFill>
    </fill>
    <fill>
      <patternFill patternType="solid">
        <fgColor theme="8"/>
        <bgColor theme="8"/>
      </patternFill>
    </fill>
    <fill>
      <patternFill patternType="solid">
        <fgColor theme="4"/>
        <bgColor indexed="64"/>
      </patternFill>
    </fill>
    <fill>
      <patternFill patternType="solid">
        <fgColor theme="9" tint="0.79998168889431442"/>
        <bgColor indexed="64"/>
      </patternFill>
    </fill>
    <fill>
      <patternFill patternType="solid">
        <fgColor theme="9"/>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patternFill>
    </fill>
    <fill>
      <patternFill patternType="solid">
        <fgColor theme="8"/>
        <bgColor theme="4"/>
      </patternFill>
    </fill>
    <fill>
      <patternFill patternType="solid">
        <fgColor theme="9"/>
        <bgColor theme="4"/>
      </patternFill>
    </fill>
    <fill>
      <patternFill patternType="solid">
        <fgColor theme="0" tint="-4.9989318521683403E-2"/>
        <bgColor indexed="64"/>
      </patternFill>
    </fill>
  </fills>
  <borders count="69">
    <border>
      <left/>
      <right/>
      <top/>
      <bottom/>
      <diagonal/>
    </border>
    <border>
      <left/>
      <right/>
      <top/>
      <bottom style="medium">
        <color theme="4" tint="0.39997558519241921"/>
      </bottom>
      <diagonal/>
    </border>
    <border>
      <left/>
      <right/>
      <top style="thin">
        <color theme="4"/>
      </top>
      <bottom/>
      <diagonal/>
    </border>
    <border>
      <left style="thin">
        <color theme="4"/>
      </left>
      <right/>
      <top style="thin">
        <color theme="4"/>
      </top>
      <bottom/>
      <diagonal/>
    </border>
    <border>
      <left/>
      <right/>
      <top/>
      <bottom style="thin">
        <color indexed="64"/>
      </bottom>
      <diagonal/>
    </border>
    <border>
      <left/>
      <right/>
      <top style="thin">
        <color auto="1"/>
      </top>
      <bottom/>
      <diagonal/>
    </border>
    <border>
      <left style="thin">
        <color theme="8"/>
      </left>
      <right/>
      <top style="thin">
        <color theme="8"/>
      </top>
      <bottom/>
      <diagonal/>
    </border>
    <border>
      <left/>
      <right/>
      <top style="thin">
        <color theme="8"/>
      </top>
      <bottom/>
      <diagonal/>
    </border>
    <border>
      <left style="thin">
        <color theme="8"/>
      </left>
      <right/>
      <top style="thin">
        <color indexed="64"/>
      </top>
      <bottom/>
      <diagonal/>
    </border>
    <border>
      <left/>
      <right/>
      <top style="thin">
        <color theme="4"/>
      </top>
      <bottom style="thin">
        <color theme="4"/>
      </bottom>
      <diagonal/>
    </border>
    <border>
      <left style="thin">
        <color theme="8"/>
      </left>
      <right/>
      <top style="thin">
        <color theme="8"/>
      </top>
      <bottom style="thin">
        <color theme="8"/>
      </bottom>
      <diagonal/>
    </border>
    <border>
      <left/>
      <right/>
      <top style="thin">
        <color theme="8"/>
      </top>
      <bottom style="thin">
        <color theme="8"/>
      </bottom>
      <diagonal/>
    </border>
    <border>
      <left style="thin">
        <color indexed="64"/>
      </left>
      <right/>
      <top/>
      <bottom/>
      <diagonal/>
    </border>
    <border>
      <left style="thin">
        <color indexed="64"/>
      </left>
      <right/>
      <top style="thin">
        <color indexed="64"/>
      </top>
      <bottom/>
      <diagonal/>
    </border>
    <border>
      <left/>
      <right style="thin">
        <color indexed="64"/>
      </right>
      <top style="thin">
        <color theme="8"/>
      </top>
      <bottom/>
      <diagonal/>
    </border>
    <border>
      <left style="thin">
        <color theme="4"/>
      </left>
      <right/>
      <top style="thin">
        <color theme="4"/>
      </top>
      <bottom style="thin">
        <color indexed="64"/>
      </bottom>
      <diagonal/>
    </border>
    <border>
      <left/>
      <right/>
      <top style="thin">
        <color theme="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3"/>
      </left>
      <right/>
      <top style="thin">
        <color theme="3"/>
      </top>
      <bottom style="thin">
        <color theme="3"/>
      </bottom>
      <diagonal/>
    </border>
    <border>
      <left style="medium">
        <color indexed="64"/>
      </left>
      <right/>
      <top style="medium">
        <color indexed="64"/>
      </top>
      <bottom/>
      <diagonal/>
    </border>
    <border>
      <left/>
      <right style="medium">
        <color indexed="64"/>
      </right>
      <top style="medium">
        <color indexed="64"/>
      </top>
      <bottom/>
      <diagonal/>
    </border>
    <border>
      <left style="thin">
        <color theme="9"/>
      </left>
      <right/>
      <top style="thin">
        <color theme="9"/>
      </top>
      <bottom/>
      <diagonal/>
    </border>
    <border>
      <left/>
      <right/>
      <top style="thin">
        <color theme="9"/>
      </top>
      <bottom/>
      <diagonal/>
    </border>
    <border>
      <left/>
      <right style="thin">
        <color theme="9"/>
      </right>
      <top style="thin">
        <color theme="9"/>
      </top>
      <bottom/>
      <diagonal/>
    </border>
    <border>
      <left style="thin">
        <color theme="8"/>
      </left>
      <right/>
      <top/>
      <bottom/>
      <diagonal/>
    </border>
    <border>
      <left/>
      <right style="thin">
        <color theme="8"/>
      </right>
      <top/>
      <bottom/>
      <diagonal/>
    </border>
    <border>
      <left style="thin">
        <color theme="8"/>
      </left>
      <right/>
      <top style="thin">
        <color theme="4"/>
      </top>
      <bottom/>
      <diagonal/>
    </border>
    <border>
      <left/>
      <right/>
      <top/>
      <bottom style="thick">
        <color theme="4" tint="0.499984740745262"/>
      </bottom>
      <diagonal/>
    </border>
    <border>
      <left style="thin">
        <color indexed="64"/>
      </left>
      <right/>
      <top style="thin">
        <color theme="8"/>
      </top>
      <bottom/>
      <diagonal/>
    </border>
    <border>
      <left style="thin">
        <color theme="4"/>
      </left>
      <right/>
      <top style="thin">
        <color auto="1"/>
      </top>
      <bottom/>
      <diagonal/>
    </border>
    <border>
      <left/>
      <right/>
      <top style="medium">
        <color indexed="64"/>
      </top>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style="thin">
        <color theme="4"/>
      </top>
      <bottom/>
      <diagonal/>
    </border>
    <border>
      <left/>
      <right style="medium">
        <color indexed="64"/>
      </right>
      <top style="thin">
        <color theme="4"/>
      </top>
      <bottom/>
      <diagonal/>
    </border>
    <border>
      <left style="medium">
        <color indexed="64"/>
      </left>
      <right/>
      <top style="thin">
        <color theme="4"/>
      </top>
      <bottom style="medium">
        <color indexed="64"/>
      </bottom>
      <diagonal/>
    </border>
    <border>
      <left/>
      <right/>
      <top style="thin">
        <color theme="4"/>
      </top>
      <bottom style="medium">
        <color indexed="64"/>
      </bottom>
      <diagonal/>
    </border>
    <border>
      <left/>
      <right style="medium">
        <color indexed="64"/>
      </right>
      <top style="thin">
        <color theme="4"/>
      </top>
      <bottom style="medium">
        <color indexed="64"/>
      </bottom>
      <diagonal/>
    </border>
    <border>
      <left/>
      <right style="thin">
        <color theme="4"/>
      </right>
      <top/>
      <bottom/>
      <diagonal/>
    </border>
    <border>
      <left/>
      <right/>
      <top style="thin">
        <color theme="3"/>
      </top>
      <bottom style="thin">
        <color theme="3"/>
      </bottom>
      <diagonal/>
    </border>
    <border>
      <left/>
      <right style="thin">
        <color theme="3"/>
      </right>
      <top style="thin">
        <color theme="3"/>
      </top>
      <bottom style="thin">
        <color theme="3"/>
      </bottom>
      <diagonal/>
    </border>
    <border>
      <left/>
      <right style="thin">
        <color theme="9"/>
      </right>
      <top style="thin">
        <color theme="9"/>
      </top>
      <bottom style="thin">
        <color theme="9"/>
      </bottom>
      <diagonal/>
    </border>
    <border>
      <left style="thin">
        <color theme="4"/>
      </left>
      <right/>
      <top/>
      <bottom/>
      <diagonal/>
    </border>
    <border>
      <left/>
      <right style="thin">
        <color theme="4"/>
      </right>
      <top style="thin">
        <color auto="1"/>
      </top>
      <bottom/>
      <diagonal/>
    </border>
    <border>
      <left/>
      <right style="thin">
        <color theme="4"/>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4"/>
      </top>
      <bottom/>
      <diagonal/>
    </border>
    <border>
      <left/>
      <right style="thin">
        <color indexed="64"/>
      </right>
      <top style="thin">
        <color theme="4"/>
      </top>
      <bottom/>
      <diagonal/>
    </border>
    <border>
      <left style="thin">
        <color indexed="64"/>
      </left>
      <right/>
      <top style="thin">
        <color theme="4"/>
      </top>
      <bottom style="thin">
        <color indexed="64"/>
      </bottom>
      <diagonal/>
    </border>
    <border>
      <left/>
      <right style="thin">
        <color indexed="64"/>
      </right>
      <top style="thin">
        <color theme="4"/>
      </top>
      <bottom style="thin">
        <color indexed="64"/>
      </bottom>
      <diagonal/>
    </border>
    <border>
      <left style="thin">
        <color indexed="64"/>
      </left>
      <right style="thin">
        <color indexed="64"/>
      </right>
      <top style="thin">
        <color theme="4"/>
      </top>
      <bottom/>
      <diagonal/>
    </border>
    <border>
      <left style="thin">
        <color indexed="64"/>
      </left>
      <right style="thin">
        <color indexed="64"/>
      </right>
      <top style="thin">
        <color theme="4"/>
      </top>
      <bottom style="thin">
        <color indexed="64"/>
      </bottom>
      <diagonal/>
    </border>
    <border>
      <left style="thin">
        <color rgb="FF1B396D"/>
      </left>
      <right/>
      <top style="thin">
        <color theme="8"/>
      </top>
      <bottom style="thin">
        <color rgb="FF1B396D"/>
      </bottom>
      <diagonal/>
    </border>
    <border>
      <left/>
      <right/>
      <top style="thin">
        <color theme="8"/>
      </top>
      <bottom style="thin">
        <color indexed="64"/>
      </bottom>
      <diagonal/>
    </border>
    <border>
      <left/>
      <right style="thin">
        <color indexed="64"/>
      </right>
      <top style="thin">
        <color auto="1"/>
      </top>
      <bottom style="thin">
        <color theme="8"/>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4"/>
      </left>
      <right/>
      <top/>
      <bottom style="thin">
        <color indexed="64"/>
      </bottom>
      <diagonal/>
    </border>
    <border>
      <left/>
      <right style="thin">
        <color theme="9"/>
      </right>
      <top style="thin">
        <color theme="4"/>
      </top>
      <bottom/>
      <diagonal/>
    </border>
    <border>
      <left style="thin">
        <color theme="4"/>
      </left>
      <right/>
      <top style="thin">
        <color theme="4"/>
      </top>
      <bottom style="thin">
        <color theme="9"/>
      </bottom>
      <diagonal/>
    </border>
    <border>
      <left/>
      <right/>
      <top style="thin">
        <color theme="4"/>
      </top>
      <bottom style="thin">
        <color theme="9"/>
      </bottom>
      <diagonal/>
    </border>
    <border>
      <left/>
      <right style="thin">
        <color theme="9"/>
      </right>
      <top style="thin">
        <color theme="4"/>
      </top>
      <bottom style="thin">
        <color theme="9"/>
      </bottom>
      <diagonal/>
    </border>
    <border>
      <left style="thin">
        <color theme="9"/>
      </left>
      <right/>
      <top/>
      <bottom/>
      <diagonal/>
    </border>
    <border>
      <left/>
      <right style="thin">
        <color theme="9"/>
      </right>
      <top/>
      <bottom/>
      <diagonal/>
    </border>
  </borders>
  <cellStyleXfs count="16">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5" fillId="0" borderId="0"/>
    <xf numFmtId="0" fontId="1" fillId="0" borderId="0"/>
    <xf numFmtId="0" fontId="12" fillId="0" borderId="0"/>
    <xf numFmtId="0" fontId="1"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9" fillId="0" borderId="0" applyNumberFormat="0" applyBorder="0" applyAlignment="0"/>
    <xf numFmtId="0" fontId="40" fillId="0" borderId="29" applyNumberFormat="0" applyFill="0" applyAlignment="0" applyProtection="0"/>
    <xf numFmtId="0" fontId="1" fillId="0" borderId="0"/>
    <xf numFmtId="0" fontId="47" fillId="0" borderId="0"/>
    <xf numFmtId="0" fontId="53" fillId="12" borderId="0" applyNumberFormat="0" applyBorder="0" applyAlignment="0" applyProtection="0"/>
  </cellStyleXfs>
  <cellXfs count="542">
    <xf numFmtId="0" fontId="0" fillId="0" borderId="0" xfId="0"/>
    <xf numFmtId="0" fontId="6" fillId="0" borderId="0" xfId="4" applyFont="1"/>
    <xf numFmtId="0" fontId="7" fillId="0" borderId="0" xfId="4" applyFont="1"/>
    <xf numFmtId="0" fontId="6" fillId="0" borderId="0" xfId="0" applyFont="1"/>
    <xf numFmtId="0" fontId="8" fillId="3" borderId="0" xfId="4" applyFont="1" applyFill="1"/>
    <xf numFmtId="0" fontId="12" fillId="0" borderId="0" xfId="4" applyFont="1"/>
    <xf numFmtId="0" fontId="13" fillId="0" borderId="0" xfId="4" applyFont="1"/>
    <xf numFmtId="0" fontId="14" fillId="3" borderId="0" xfId="4" applyFont="1" applyFill="1"/>
    <xf numFmtId="3" fontId="7" fillId="0" borderId="0" xfId="4" applyNumberFormat="1" applyFont="1" applyFill="1"/>
    <xf numFmtId="3" fontId="7" fillId="0" borderId="0" xfId="4" applyNumberFormat="1" applyFont="1" applyFill="1" applyBorder="1"/>
    <xf numFmtId="0" fontId="1" fillId="0" borderId="0" xfId="0" applyFont="1"/>
    <xf numFmtId="0" fontId="10" fillId="4" borderId="0" xfId="4" applyNumberFormat="1" applyFont="1" applyFill="1" applyBorder="1" applyAlignment="1">
      <alignment wrapText="1"/>
    </xf>
    <xf numFmtId="0" fontId="7" fillId="0" borderId="5" xfId="5" applyNumberFormat="1" applyFont="1" applyBorder="1" applyAlignment="1"/>
    <xf numFmtId="0" fontId="7" fillId="0" borderId="5" xfId="4" applyNumberFormat="1" applyFont="1" applyBorder="1" applyAlignment="1"/>
    <xf numFmtId="3" fontId="7" fillId="0" borderId="2" xfId="4" applyNumberFormat="1" applyFont="1" applyBorder="1" applyAlignment="1"/>
    <xf numFmtId="2" fontId="7" fillId="0" borderId="5" xfId="7" applyNumberFormat="1" applyFont="1" applyBorder="1" applyAlignment="1"/>
    <xf numFmtId="0" fontId="7" fillId="0" borderId="2" xfId="5" applyNumberFormat="1" applyFont="1" applyBorder="1" applyAlignment="1"/>
    <xf numFmtId="0" fontId="7" fillId="0" borderId="2" xfId="4" applyNumberFormat="1" applyFont="1" applyBorder="1" applyAlignment="1"/>
    <xf numFmtId="2" fontId="7" fillId="0" borderId="2" xfId="7" applyNumberFormat="1" applyFont="1" applyBorder="1" applyAlignment="1"/>
    <xf numFmtId="0" fontId="8" fillId="0" borderId="2" xfId="4" applyNumberFormat="1" applyFont="1" applyBorder="1" applyAlignment="1"/>
    <xf numFmtId="3" fontId="8" fillId="0" borderId="2" xfId="4" applyNumberFormat="1" applyFont="1" applyBorder="1" applyAlignment="1"/>
    <xf numFmtId="0" fontId="6" fillId="0" borderId="0" xfId="0" applyFont="1" applyFill="1"/>
    <xf numFmtId="0" fontId="15" fillId="0" borderId="0" xfId="0" applyFont="1" applyFill="1"/>
    <xf numFmtId="0" fontId="16" fillId="0" borderId="0" xfId="3" applyFont="1" applyBorder="1"/>
    <xf numFmtId="0" fontId="6" fillId="0" borderId="0" xfId="0" applyFont="1" applyAlignment="1"/>
    <xf numFmtId="0" fontId="0" fillId="0" borderId="0" xfId="0" applyAlignment="1"/>
    <xf numFmtId="0" fontId="6" fillId="0" borderId="0" xfId="4" applyFont="1" applyFill="1"/>
    <xf numFmtId="0" fontId="17" fillId="0" borderId="0" xfId="4" applyFont="1"/>
    <xf numFmtId="0" fontId="17" fillId="0" borderId="0" xfId="4" applyFont="1" applyFill="1"/>
    <xf numFmtId="3" fontId="17" fillId="0" borderId="0" xfId="4" applyNumberFormat="1" applyFont="1"/>
    <xf numFmtId="1" fontId="17" fillId="0" borderId="0" xfId="4" applyNumberFormat="1" applyFont="1"/>
    <xf numFmtId="0" fontId="24" fillId="0" borderId="0" xfId="4" applyFont="1"/>
    <xf numFmtId="0" fontId="25" fillId="0" borderId="0" xfId="0" applyFont="1"/>
    <xf numFmtId="168" fontId="17" fillId="0" borderId="0" xfId="4" applyNumberFormat="1" applyFont="1"/>
    <xf numFmtId="0" fontId="17" fillId="0" borderId="0" xfId="0" applyFont="1" applyAlignment="1">
      <alignment horizontal="left"/>
    </xf>
    <xf numFmtId="0" fontId="17" fillId="0" borderId="0" xfId="4" applyFont="1" applyFill="1" applyBorder="1"/>
    <xf numFmtId="0" fontId="21" fillId="6" borderId="6" xfId="4" applyNumberFormat="1" applyFont="1" applyFill="1" applyBorder="1" applyAlignment="1"/>
    <xf numFmtId="0" fontId="21" fillId="0" borderId="0" xfId="4" applyNumberFormat="1" applyFont="1" applyFill="1" applyBorder="1" applyAlignment="1"/>
    <xf numFmtId="0" fontId="17" fillId="0" borderId="0" xfId="0" applyFont="1" applyFill="1"/>
    <xf numFmtId="0" fontId="18" fillId="0" borderId="0" xfId="4" applyFont="1" applyFill="1" applyBorder="1" applyAlignment="1"/>
    <xf numFmtId="0" fontId="17" fillId="3" borderId="0" xfId="4" applyFont="1" applyFill="1"/>
    <xf numFmtId="0" fontId="21" fillId="6" borderId="0" xfId="4" applyNumberFormat="1" applyFont="1" applyFill="1" applyBorder="1" applyAlignment="1"/>
    <xf numFmtId="0" fontId="21" fillId="6" borderId="0" xfId="4" applyNumberFormat="1" applyFont="1" applyFill="1" applyBorder="1" applyAlignment="1">
      <alignment wrapText="1"/>
    </xf>
    <xf numFmtId="3" fontId="21" fillId="6" borderId="0" xfId="4" applyNumberFormat="1" applyFont="1" applyFill="1" applyBorder="1" applyAlignment="1"/>
    <xf numFmtId="0" fontId="21" fillId="5" borderId="0" xfId="4" applyNumberFormat="1" applyFont="1" applyFill="1" applyBorder="1" applyAlignment="1"/>
    <xf numFmtId="0" fontId="17" fillId="0" borderId="7" xfId="4" applyNumberFormat="1" applyFont="1" applyBorder="1" applyAlignment="1"/>
    <xf numFmtId="3" fontId="17" fillId="0" borderId="7" xfId="4" applyNumberFormat="1" applyFont="1" applyBorder="1" applyAlignment="1"/>
    <xf numFmtId="0" fontId="18" fillId="0" borderId="5" xfId="4" applyNumberFormat="1" applyFont="1" applyBorder="1" applyAlignment="1"/>
    <xf numFmtId="0" fontId="17" fillId="0" borderId="5" xfId="4" applyNumberFormat="1" applyFont="1" applyBorder="1" applyAlignment="1"/>
    <xf numFmtId="3" fontId="18" fillId="0" borderId="5" xfId="4" applyNumberFormat="1" applyFont="1" applyBorder="1" applyAlignment="1"/>
    <xf numFmtId="0" fontId="18" fillId="0" borderId="0" xfId="4" applyFont="1"/>
    <xf numFmtId="0" fontId="27" fillId="0" borderId="0" xfId="4" applyFont="1" applyFill="1" applyBorder="1"/>
    <xf numFmtId="0" fontId="21" fillId="5" borderId="2" xfId="4" applyNumberFormat="1" applyFont="1" applyFill="1" applyBorder="1" applyAlignment="1"/>
    <xf numFmtId="0" fontId="21" fillId="6" borderId="7" xfId="4" applyNumberFormat="1" applyFont="1" applyFill="1" applyBorder="1" applyAlignment="1">
      <alignment horizontal="left"/>
    </xf>
    <xf numFmtId="0" fontId="21" fillId="6" borderId="7" xfId="4" applyNumberFormat="1" applyFont="1" applyFill="1" applyBorder="1" applyAlignment="1">
      <alignment wrapText="1"/>
    </xf>
    <xf numFmtId="0" fontId="21" fillId="5" borderId="7" xfId="4" applyNumberFormat="1" applyFont="1" applyFill="1" applyBorder="1" applyAlignment="1">
      <alignment horizontal="left" wrapText="1"/>
    </xf>
    <xf numFmtId="0" fontId="21" fillId="6" borderId="7" xfId="4" applyNumberFormat="1" applyFont="1" applyFill="1" applyBorder="1" applyAlignment="1">
      <alignment horizontal="left" wrapText="1"/>
    </xf>
    <xf numFmtId="0" fontId="28" fillId="0" borderId="0" xfId="4" applyFont="1" applyFill="1" applyBorder="1"/>
    <xf numFmtId="0" fontId="24" fillId="0" borderId="5" xfId="5" applyNumberFormat="1" applyFont="1" applyBorder="1" applyAlignment="1"/>
    <xf numFmtId="3" fontId="17" fillId="0" borderId="5" xfId="4" applyNumberFormat="1" applyFont="1" applyBorder="1" applyAlignment="1"/>
    <xf numFmtId="166" fontId="17" fillId="0" borderId="5" xfId="4" applyNumberFormat="1" applyFont="1" applyBorder="1" applyAlignment="1"/>
    <xf numFmtId="3" fontId="27" fillId="0" borderId="0" xfId="4" applyNumberFormat="1" applyFont="1" applyFill="1" applyBorder="1"/>
    <xf numFmtId="0" fontId="24" fillId="0" borderId="2" xfId="5" applyNumberFormat="1" applyFont="1" applyBorder="1" applyAlignment="1"/>
    <xf numFmtId="0" fontId="17" fillId="0" borderId="2" xfId="4" applyNumberFormat="1" applyFont="1" applyBorder="1" applyAlignment="1"/>
    <xf numFmtId="0" fontId="17" fillId="0" borderId="9" xfId="4" applyNumberFormat="1" applyFont="1" applyBorder="1" applyAlignment="1"/>
    <xf numFmtId="166" fontId="18" fillId="0" borderId="5" xfId="4" applyNumberFormat="1" applyFont="1" applyBorder="1" applyAlignment="1"/>
    <xf numFmtId="166" fontId="18" fillId="0" borderId="11" xfId="4" applyNumberFormat="1" applyFont="1" applyBorder="1" applyAlignment="1"/>
    <xf numFmtId="3" fontId="18" fillId="0" borderId="0" xfId="4" applyNumberFormat="1" applyFont="1"/>
    <xf numFmtId="2" fontId="18" fillId="0" borderId="0" xfId="4" applyNumberFormat="1" applyFont="1"/>
    <xf numFmtId="166" fontId="18" fillId="0" borderId="0" xfId="4" applyNumberFormat="1" applyFont="1"/>
    <xf numFmtId="3" fontId="18" fillId="0" borderId="0" xfId="4" applyNumberFormat="1" applyFont="1" applyFill="1"/>
    <xf numFmtId="0" fontId="21" fillId="6" borderId="0" xfId="4" applyNumberFormat="1" applyFont="1" applyFill="1" applyBorder="1" applyAlignment="1">
      <alignment horizontal="center"/>
    </xf>
    <xf numFmtId="0" fontId="21" fillId="6" borderId="12" xfId="4" applyNumberFormat="1" applyFont="1" applyFill="1" applyBorder="1" applyAlignment="1"/>
    <xf numFmtId="3" fontId="18" fillId="0" borderId="13" xfId="4" applyNumberFormat="1" applyFont="1" applyBorder="1" applyAlignment="1"/>
    <xf numFmtId="0" fontId="24" fillId="0" borderId="7" xfId="5" applyNumberFormat="1" applyFont="1" applyBorder="1" applyAlignment="1"/>
    <xf numFmtId="168" fontId="18" fillId="0" borderId="7" xfId="9" applyNumberFormat="1" applyFont="1" applyBorder="1" applyAlignment="1"/>
    <xf numFmtId="0" fontId="24" fillId="0" borderId="0" xfId="4" applyFont="1" applyFill="1" applyBorder="1"/>
    <xf numFmtId="3" fontId="17" fillId="0" borderId="0" xfId="4" applyNumberFormat="1" applyFont="1" applyFill="1" applyBorder="1"/>
    <xf numFmtId="3" fontId="24" fillId="0" borderId="0" xfId="4" applyNumberFormat="1" applyFont="1" applyFill="1" applyBorder="1"/>
    <xf numFmtId="0" fontId="18" fillId="0" borderId="0" xfId="4" applyFont="1" applyFill="1" applyBorder="1"/>
    <xf numFmtId="0" fontId="21" fillId="0" borderId="4" xfId="4" applyFont="1" applyFill="1" applyBorder="1" applyAlignment="1">
      <alignment wrapText="1"/>
    </xf>
    <xf numFmtId="0" fontId="20" fillId="0" borderId="0" xfId="4" applyFont="1" applyFill="1" applyBorder="1"/>
    <xf numFmtId="166" fontId="24" fillId="0" borderId="0" xfId="4" applyNumberFormat="1" applyFont="1" applyFill="1" applyBorder="1"/>
    <xf numFmtId="2" fontId="24" fillId="0" borderId="0" xfId="4" applyNumberFormat="1" applyFont="1" applyFill="1" applyBorder="1"/>
    <xf numFmtId="3" fontId="20" fillId="0" borderId="0" xfId="4" applyNumberFormat="1" applyFont="1" applyFill="1" applyBorder="1"/>
    <xf numFmtId="166" fontId="20" fillId="0" borderId="0" xfId="4" applyNumberFormat="1" applyFont="1" applyFill="1" applyBorder="1"/>
    <xf numFmtId="2" fontId="20" fillId="0" borderId="0" xfId="4" applyNumberFormat="1" applyFont="1" applyFill="1" applyBorder="1"/>
    <xf numFmtId="0" fontId="20" fillId="0" borderId="0" xfId="4" applyFont="1"/>
    <xf numFmtId="9" fontId="24" fillId="0" borderId="0" xfId="4" applyNumberFormat="1" applyFont="1"/>
    <xf numFmtId="3" fontId="24" fillId="0" borderId="0" xfId="4" applyNumberFormat="1" applyFont="1"/>
    <xf numFmtId="1" fontId="24" fillId="0" borderId="0" xfId="4" applyNumberFormat="1" applyFont="1"/>
    <xf numFmtId="0" fontId="24" fillId="0" borderId="0" xfId="4" applyFont="1" applyAlignment="1">
      <alignment horizontal="right"/>
    </xf>
    <xf numFmtId="0" fontId="24" fillId="0" borderId="0" xfId="4" applyFont="1" applyFill="1"/>
    <xf numFmtId="1" fontId="24" fillId="0" borderId="0" xfId="4" applyNumberFormat="1" applyFont="1" applyFill="1"/>
    <xf numFmtId="3" fontId="6" fillId="0" borderId="0" xfId="0" applyNumberFormat="1" applyFont="1" applyAlignment="1">
      <alignment horizontal="right"/>
    </xf>
    <xf numFmtId="0" fontId="21" fillId="0" borderId="0" xfId="4" applyNumberFormat="1" applyFont="1" applyFill="1" applyBorder="1" applyAlignment="1">
      <alignment wrapText="1"/>
    </xf>
    <xf numFmtId="3" fontId="18" fillId="0" borderId="14" xfId="4" applyNumberFormat="1" applyFont="1" applyBorder="1" applyAlignment="1"/>
    <xf numFmtId="0" fontId="18" fillId="0" borderId="0" xfId="0" applyNumberFormat="1" applyFont="1" applyFill="1" applyBorder="1" applyAlignment="1"/>
    <xf numFmtId="0" fontId="8" fillId="3" borderId="0" xfId="4" applyFont="1" applyFill="1" applyAlignment="1"/>
    <xf numFmtId="0" fontId="9" fillId="0" borderId="0" xfId="0" applyFont="1" applyAlignment="1"/>
    <xf numFmtId="165" fontId="9" fillId="0" borderId="0" xfId="0" applyNumberFormat="1" applyFont="1" applyFill="1" applyBorder="1" applyAlignment="1"/>
    <xf numFmtId="0" fontId="0" fillId="0" borderId="0" xfId="0" applyFont="1"/>
    <xf numFmtId="0" fontId="29" fillId="3" borderId="0" xfId="4" applyFont="1" applyFill="1" applyAlignment="1">
      <alignment horizontal="right"/>
    </xf>
    <xf numFmtId="0" fontId="23" fillId="0" borderId="0" xfId="4" applyFont="1" applyFill="1" applyBorder="1"/>
    <xf numFmtId="0" fontId="4" fillId="2" borderId="0" xfId="0" applyFont="1" applyFill="1" applyAlignment="1">
      <alignment horizontal="right"/>
    </xf>
    <xf numFmtId="3" fontId="6" fillId="0" borderId="0" xfId="0" applyNumberFormat="1" applyFont="1" applyFill="1" applyBorder="1" applyAlignment="1"/>
    <xf numFmtId="0" fontId="7" fillId="0" borderId="3" xfId="5" applyNumberFormat="1" applyFont="1" applyBorder="1" applyAlignment="1"/>
    <xf numFmtId="0" fontId="7" fillId="0" borderId="3" xfId="4" applyNumberFormat="1" applyFont="1" applyBorder="1" applyAlignment="1"/>
    <xf numFmtId="3" fontId="9" fillId="0" borderId="0" xfId="0" applyNumberFormat="1" applyFont="1"/>
    <xf numFmtId="3" fontId="17" fillId="0" borderId="0" xfId="4" applyNumberFormat="1" applyFont="1" applyBorder="1" applyAlignment="1"/>
    <xf numFmtId="0" fontId="31" fillId="0" borderId="0" xfId="0" applyFont="1"/>
    <xf numFmtId="3" fontId="7" fillId="0" borderId="5" xfId="4" applyNumberFormat="1" applyFont="1" applyBorder="1" applyAlignment="1"/>
    <xf numFmtId="0" fontId="7" fillId="0" borderId="0" xfId="4" applyNumberFormat="1" applyFont="1" applyBorder="1" applyAlignment="1"/>
    <xf numFmtId="3" fontId="7" fillId="0" borderId="0" xfId="4" applyNumberFormat="1" applyFont="1" applyBorder="1" applyAlignment="1"/>
    <xf numFmtId="167" fontId="7" fillId="0" borderId="0" xfId="6" applyNumberFormat="1" applyFont="1" applyBorder="1" applyAlignment="1"/>
    <xf numFmtId="0" fontId="9" fillId="3" borderId="0" xfId="4" applyFont="1" applyFill="1"/>
    <xf numFmtId="0" fontId="8" fillId="3" borderId="0" xfId="4" applyNumberFormat="1" applyFont="1" applyFill="1" applyBorder="1" applyAlignment="1"/>
    <xf numFmtId="3" fontId="8" fillId="3" borderId="0" xfId="4" applyNumberFormat="1" applyFont="1" applyFill="1" applyBorder="1" applyAlignment="1"/>
    <xf numFmtId="167" fontId="8" fillId="3" borderId="0" xfId="6" applyNumberFormat="1" applyFont="1" applyFill="1" applyBorder="1" applyAlignment="1"/>
    <xf numFmtId="166" fontId="8" fillId="3" borderId="0" xfId="4" applyNumberFormat="1" applyFont="1" applyFill="1" applyBorder="1" applyAlignment="1"/>
    <xf numFmtId="0" fontId="14" fillId="3" borderId="0" xfId="4" applyNumberFormat="1" applyFont="1" applyFill="1" applyBorder="1" applyAlignment="1"/>
    <xf numFmtId="0" fontId="7" fillId="0" borderId="0" xfId="0" applyFont="1"/>
    <xf numFmtId="0" fontId="14" fillId="0" borderId="0" xfId="0" applyFont="1"/>
    <xf numFmtId="0" fontId="33" fillId="5" borderId="0" xfId="4" applyNumberFormat="1" applyFont="1" applyFill="1" applyAlignment="1">
      <alignment horizontal="left" wrapText="1"/>
    </xf>
    <xf numFmtId="3" fontId="32" fillId="0" borderId="0" xfId="4" applyNumberFormat="1" applyFont="1" applyFill="1" applyBorder="1" applyAlignment="1"/>
    <xf numFmtId="3" fontId="18" fillId="0" borderId="0" xfId="4" applyNumberFormat="1" applyFont="1" applyFill="1" applyBorder="1" applyAlignment="1"/>
    <xf numFmtId="0" fontId="35" fillId="0" borderId="0" xfId="0" applyFont="1" applyFill="1"/>
    <xf numFmtId="0" fontId="6" fillId="0" borderId="0" xfId="0" applyFont="1" applyBorder="1"/>
    <xf numFmtId="0" fontId="0" fillId="0" borderId="0" xfId="0" applyBorder="1"/>
    <xf numFmtId="0" fontId="7" fillId="0" borderId="0" xfId="0" applyFont="1" applyFill="1" applyBorder="1"/>
    <xf numFmtId="0" fontId="15" fillId="0" borderId="0" xfId="0" applyFont="1" applyFill="1" applyBorder="1"/>
    <xf numFmtId="172" fontId="6" fillId="0" borderId="0" xfId="10" applyNumberFormat="1" applyFont="1" applyFill="1"/>
    <xf numFmtId="3" fontId="7" fillId="0" borderId="0" xfId="4" applyNumberFormat="1" applyFont="1"/>
    <xf numFmtId="3" fontId="0" fillId="0" borderId="0" xfId="0" applyNumberFormat="1" applyAlignment="1"/>
    <xf numFmtId="1" fontId="23" fillId="0" borderId="0" xfId="4" applyNumberFormat="1" applyFont="1"/>
    <xf numFmtId="0" fontId="15" fillId="0" borderId="0" xfId="0" applyFont="1"/>
    <xf numFmtId="0" fontId="37" fillId="0" borderId="0" xfId="0" applyFont="1"/>
    <xf numFmtId="0" fontId="26" fillId="0" borderId="18" xfId="4" applyNumberFormat="1" applyFont="1" applyFill="1" applyBorder="1" applyAlignment="1">
      <alignment wrapText="1"/>
    </xf>
    <xf numFmtId="168" fontId="26" fillId="0" borderId="17" xfId="8" applyNumberFormat="1" applyFont="1" applyFill="1" applyBorder="1"/>
    <xf numFmtId="0" fontId="39" fillId="0" borderId="0" xfId="0" applyFont="1" applyAlignment="1"/>
    <xf numFmtId="0" fontId="38" fillId="0" borderId="0" xfId="0" applyFont="1"/>
    <xf numFmtId="3" fontId="25" fillId="0" borderId="0" xfId="0" applyNumberFormat="1" applyFont="1"/>
    <xf numFmtId="0" fontId="9" fillId="0" borderId="0" xfId="4" applyFont="1" applyFill="1"/>
    <xf numFmtId="0" fontId="14" fillId="0" borderId="0" xfId="4" applyFont="1" applyBorder="1"/>
    <xf numFmtId="3" fontId="18" fillId="0" borderId="28" xfId="4" applyNumberFormat="1" applyFont="1" applyBorder="1" applyAlignment="1"/>
    <xf numFmtId="3" fontId="18" fillId="0" borderId="3" xfId="4" applyNumberFormat="1" applyFont="1" applyBorder="1" applyAlignment="1"/>
    <xf numFmtId="3" fontId="21" fillId="9" borderId="23" xfId="4" applyNumberFormat="1" applyFont="1" applyFill="1" applyBorder="1" applyAlignment="1"/>
    <xf numFmtId="3" fontId="21" fillId="9" borderId="24" xfId="4" applyNumberFormat="1" applyFont="1" applyFill="1" applyBorder="1" applyAlignment="1"/>
    <xf numFmtId="3" fontId="21" fillId="5" borderId="23" xfId="4" applyNumberFormat="1" applyFont="1" applyFill="1" applyBorder="1" applyAlignment="1"/>
    <xf numFmtId="0" fontId="0" fillId="0" borderId="0" xfId="0" applyFill="1"/>
    <xf numFmtId="167" fontId="7" fillId="0" borderId="5" xfId="4" applyNumberFormat="1" applyFont="1" applyBorder="1" applyAlignment="1"/>
    <xf numFmtId="166" fontId="7" fillId="0" borderId="5" xfId="4" applyNumberFormat="1" applyFont="1" applyBorder="1" applyAlignment="1"/>
    <xf numFmtId="167" fontId="7" fillId="0" borderId="2" xfId="4" applyNumberFormat="1" applyFont="1" applyBorder="1" applyAlignment="1"/>
    <xf numFmtId="166" fontId="7" fillId="0" borderId="2" xfId="4" applyNumberFormat="1" applyFont="1" applyBorder="1" applyAlignment="1"/>
    <xf numFmtId="167" fontId="8" fillId="0" borderId="2" xfId="4" applyNumberFormat="1" applyFont="1" applyBorder="1" applyAlignment="1"/>
    <xf numFmtId="166" fontId="8" fillId="0" borderId="2" xfId="4" applyNumberFormat="1" applyFont="1" applyBorder="1" applyAlignment="1"/>
    <xf numFmtId="2" fontId="7" fillId="0" borderId="5" xfId="4" applyNumberFormat="1" applyFont="1" applyBorder="1" applyAlignment="1"/>
    <xf numFmtId="2" fontId="7" fillId="0" borderId="2" xfId="4" applyNumberFormat="1" applyFont="1" applyBorder="1" applyAlignment="1"/>
    <xf numFmtId="0" fontId="10" fillId="4" borderId="0" xfId="4" applyNumberFormat="1" applyFont="1" applyFill="1" applyBorder="1" applyAlignment="1"/>
    <xf numFmtId="0" fontId="6" fillId="0" borderId="5" xfId="5" applyNumberFormat="1" applyFont="1" applyBorder="1" applyAlignment="1"/>
    <xf numFmtId="0" fontId="6" fillId="0" borderId="2" xfId="5" applyNumberFormat="1" applyFont="1" applyBorder="1" applyAlignment="1"/>
    <xf numFmtId="49" fontId="10" fillId="4" borderId="0" xfId="4" applyNumberFormat="1" applyFont="1" applyFill="1" applyBorder="1" applyAlignment="1">
      <alignment wrapText="1"/>
    </xf>
    <xf numFmtId="3" fontId="24" fillId="0" borderId="2" xfId="4" applyNumberFormat="1" applyFont="1" applyBorder="1" applyAlignment="1"/>
    <xf numFmtId="3" fontId="20" fillId="0" borderId="2" xfId="4" applyNumberFormat="1" applyFont="1" applyBorder="1" applyAlignment="1"/>
    <xf numFmtId="0" fontId="24" fillId="0" borderId="0" xfId="4" applyNumberFormat="1" applyFont="1" applyBorder="1" applyAlignment="1"/>
    <xf numFmtId="0" fontId="20" fillId="0" borderId="0" xfId="4" applyNumberFormat="1" applyFont="1" applyBorder="1" applyAlignment="1"/>
    <xf numFmtId="171" fontId="24" fillId="0" borderId="0" xfId="4" applyNumberFormat="1" applyFont="1" applyBorder="1" applyAlignment="1"/>
    <xf numFmtId="0" fontId="24" fillId="0" borderId="0" xfId="4" applyFont="1" applyBorder="1" applyAlignment="1">
      <alignment horizontal="right"/>
    </xf>
    <xf numFmtId="0" fontId="24" fillId="0" borderId="2" xfId="4" applyNumberFormat="1" applyFont="1" applyBorder="1" applyAlignment="1"/>
    <xf numFmtId="0" fontId="21" fillId="4" borderId="0" xfId="4" applyNumberFormat="1" applyFont="1" applyFill="1" applyBorder="1" applyAlignment="1"/>
    <xf numFmtId="0" fontId="21" fillId="6" borderId="26" xfId="0" applyNumberFormat="1" applyFont="1" applyFill="1" applyBorder="1" applyAlignment="1" applyProtection="1">
      <alignment horizontal="left" wrapText="1"/>
    </xf>
    <xf numFmtId="0" fontId="21" fillId="6" borderId="0" xfId="0" applyNumberFormat="1" applyFont="1" applyFill="1" applyBorder="1" applyAlignment="1" applyProtection="1">
      <alignment horizontal="right"/>
    </xf>
    <xf numFmtId="3" fontId="7" fillId="0" borderId="5" xfId="4" applyNumberFormat="1" applyFont="1" applyFill="1" applyBorder="1" applyAlignment="1"/>
    <xf numFmtId="3" fontId="7" fillId="0" borderId="2" xfId="4" applyNumberFormat="1" applyFont="1" applyFill="1" applyBorder="1" applyAlignment="1"/>
    <xf numFmtId="3" fontId="8" fillId="0" borderId="2" xfId="4" applyNumberFormat="1" applyFont="1" applyFill="1" applyBorder="1" applyAlignment="1"/>
    <xf numFmtId="0" fontId="40" fillId="3" borderId="29" xfId="12" applyFill="1"/>
    <xf numFmtId="0" fontId="40" fillId="3" borderId="29" xfId="12" applyFill="1" applyAlignment="1">
      <alignment horizontal="left"/>
    </xf>
    <xf numFmtId="0" fontId="17" fillId="0" borderId="8" xfId="4" applyNumberFormat="1" applyFont="1" applyBorder="1" applyAlignment="1"/>
    <xf numFmtId="0" fontId="17" fillId="0" borderId="6" xfId="4" applyNumberFormat="1" applyFont="1" applyBorder="1" applyAlignment="1"/>
    <xf numFmtId="0" fontId="17" fillId="0" borderId="10" xfId="4" applyNumberFormat="1" applyFont="1" applyBorder="1" applyAlignment="1"/>
    <xf numFmtId="0" fontId="17" fillId="0" borderId="11" xfId="4" applyNumberFormat="1" applyFont="1" applyBorder="1" applyAlignment="1"/>
    <xf numFmtId="0" fontId="6" fillId="0" borderId="0" xfId="0" applyFont="1" applyFill="1" applyBorder="1" applyAlignment="1"/>
    <xf numFmtId="0" fontId="21" fillId="0" borderId="0" xfId="4" applyFont="1" applyFill="1" applyBorder="1" applyAlignment="1">
      <alignment wrapText="1"/>
    </xf>
    <xf numFmtId="0" fontId="24" fillId="0" borderId="0" xfId="4" applyFont="1" applyAlignment="1">
      <alignment horizontal="right" wrapText="1"/>
    </xf>
    <xf numFmtId="0" fontId="0" fillId="0" borderId="0" xfId="0" applyAlignment="1">
      <alignment wrapText="1"/>
    </xf>
    <xf numFmtId="0" fontId="41" fillId="0" borderId="0" xfId="2" applyFont="1"/>
    <xf numFmtId="0" fontId="42" fillId="0" borderId="0" xfId="2" applyFont="1"/>
    <xf numFmtId="0" fontId="30" fillId="3" borderId="0" xfId="0" applyFont="1" applyFill="1" applyAlignment="1"/>
    <xf numFmtId="0" fontId="30" fillId="0" borderId="0" xfId="0" applyFont="1" applyAlignment="1"/>
    <xf numFmtId="4" fontId="18" fillId="0" borderId="5" xfId="4" applyNumberFormat="1" applyFont="1" applyBorder="1" applyAlignment="1"/>
    <xf numFmtId="4" fontId="17" fillId="0" borderId="5" xfId="4" applyNumberFormat="1" applyFont="1" applyBorder="1" applyAlignment="1"/>
    <xf numFmtId="4" fontId="18" fillId="0" borderId="0" xfId="4" applyNumberFormat="1" applyFont="1" applyBorder="1" applyAlignment="1"/>
    <xf numFmtId="0" fontId="10" fillId="7" borderId="24" xfId="0" applyFont="1" applyFill="1" applyBorder="1" applyAlignment="1">
      <alignment horizontal="left" wrapText="1"/>
    </xf>
    <xf numFmtId="0" fontId="26" fillId="0" borderId="0" xfId="4" applyNumberFormat="1" applyFont="1" applyFill="1" applyBorder="1" applyAlignment="1">
      <alignment wrapText="1"/>
    </xf>
    <xf numFmtId="168" fontId="26" fillId="0" borderId="0" xfId="8" applyNumberFormat="1" applyFont="1" applyFill="1" applyBorder="1"/>
    <xf numFmtId="169" fontId="34" fillId="0" borderId="0" xfId="4" applyNumberFormat="1" applyFont="1" applyFill="1" applyBorder="1" applyAlignment="1"/>
    <xf numFmtId="0" fontId="10" fillId="7" borderId="25" xfId="0" applyFont="1" applyFill="1" applyBorder="1" applyAlignment="1">
      <alignment horizontal="left" wrapText="1"/>
    </xf>
    <xf numFmtId="169" fontId="21" fillId="0" borderId="0" xfId="4" applyNumberFormat="1" applyFont="1" applyFill="1" applyBorder="1" applyAlignment="1"/>
    <xf numFmtId="169" fontId="22" fillId="0" borderId="0" xfId="4" applyNumberFormat="1" applyFont="1" applyFill="1" applyBorder="1"/>
    <xf numFmtId="0" fontId="18" fillId="0" borderId="13" xfId="4" applyNumberFormat="1" applyFont="1" applyBorder="1" applyAlignment="1"/>
    <xf numFmtId="3" fontId="17" fillId="0" borderId="14" xfId="4" applyNumberFormat="1" applyFont="1" applyBorder="1" applyAlignment="1"/>
    <xf numFmtId="0" fontId="17" fillId="0" borderId="30" xfId="4" applyNumberFormat="1" applyFont="1" applyBorder="1" applyAlignment="1">
      <alignment horizontal="left" wrapText="1"/>
    </xf>
    <xf numFmtId="0" fontId="43" fillId="0" borderId="0" xfId="0" applyFont="1" applyFill="1"/>
    <xf numFmtId="4" fontId="18" fillId="0" borderId="0" xfId="4" applyNumberFormat="1" applyFont="1" applyFill="1" applyBorder="1"/>
    <xf numFmtId="4" fontId="24" fillId="0" borderId="0" xfId="4" applyNumberFormat="1" applyFont="1" applyFill="1" applyBorder="1"/>
    <xf numFmtId="165" fontId="6" fillId="0" borderId="0" xfId="0" applyNumberFormat="1" applyFont="1" applyFill="1" applyBorder="1" applyAlignment="1"/>
    <xf numFmtId="0" fontId="44" fillId="0" borderId="0" xfId="0" applyFont="1" applyAlignment="1"/>
    <xf numFmtId="0" fontId="10" fillId="4" borderId="2" xfId="0" applyFont="1" applyFill="1" applyBorder="1" applyAlignment="1">
      <alignment horizontal="left" wrapText="1"/>
    </xf>
    <xf numFmtId="172" fontId="0" fillId="0" borderId="0" xfId="0" applyNumberFormat="1"/>
    <xf numFmtId="165" fontId="0" fillId="0" borderId="0" xfId="0" applyNumberFormat="1"/>
    <xf numFmtId="0" fontId="3" fillId="10" borderId="1" xfId="3" applyFill="1" applyAlignment="1"/>
    <xf numFmtId="165" fontId="6" fillId="0" borderId="0" xfId="0" applyNumberFormat="1" applyFont="1" applyFill="1" applyAlignment="1"/>
    <xf numFmtId="169" fontId="20" fillId="0" borderId="2" xfId="9" applyNumberFormat="1" applyFont="1" applyBorder="1"/>
    <xf numFmtId="169" fontId="20" fillId="0" borderId="0" xfId="9" applyNumberFormat="1" applyFont="1" applyFill="1" applyBorder="1"/>
    <xf numFmtId="166" fontId="8" fillId="0" borderId="5" xfId="7" applyNumberFormat="1" applyFont="1" applyBorder="1" applyAlignment="1"/>
    <xf numFmtId="166" fontId="8" fillId="0" borderId="2" xfId="7" applyNumberFormat="1" applyFont="1" applyBorder="1" applyAlignment="1"/>
    <xf numFmtId="0" fontId="10" fillId="4" borderId="21" xfId="0" applyFont="1" applyFill="1" applyBorder="1" applyAlignment="1">
      <alignment horizontal="left" wrapText="1"/>
    </xf>
    <xf numFmtId="0" fontId="10" fillId="4" borderId="32" xfId="0" applyFont="1" applyFill="1" applyBorder="1" applyAlignment="1">
      <alignment horizontal="left" wrapText="1"/>
    </xf>
    <xf numFmtId="0" fontId="10" fillId="4" borderId="22" xfId="0" applyFont="1" applyFill="1" applyBorder="1" applyAlignment="1">
      <alignment horizontal="left" wrapText="1"/>
    </xf>
    <xf numFmtId="166" fontId="8" fillId="0" borderId="34" xfId="7" applyNumberFormat="1" applyFont="1" applyBorder="1" applyAlignment="1"/>
    <xf numFmtId="166" fontId="8" fillId="0" borderId="36" xfId="7" applyNumberFormat="1" applyFont="1" applyBorder="1" applyAlignment="1"/>
    <xf numFmtId="166" fontId="7" fillId="0" borderId="0" xfId="7" applyNumberFormat="1" applyFont="1" applyBorder="1" applyAlignment="1"/>
    <xf numFmtId="166" fontId="8" fillId="0" borderId="38" xfId="7" applyNumberFormat="1" applyFont="1" applyBorder="1" applyAlignment="1"/>
    <xf numFmtId="166" fontId="8" fillId="0" borderId="39" xfId="7" applyNumberFormat="1" applyFont="1" applyBorder="1" applyAlignment="1"/>
    <xf numFmtId="0" fontId="8" fillId="0" borderId="0" xfId="4" applyNumberFormat="1" applyFont="1" applyBorder="1" applyAlignment="1"/>
    <xf numFmtId="0" fontId="10" fillId="4" borderId="3" xfId="4" applyNumberFormat="1" applyFont="1" applyFill="1" applyBorder="1" applyAlignment="1">
      <alignment wrapText="1"/>
    </xf>
    <xf numFmtId="0" fontId="10" fillId="4" borderId="2" xfId="4" applyNumberFormat="1" applyFont="1" applyFill="1" applyBorder="1" applyAlignment="1">
      <alignment wrapText="1"/>
    </xf>
    <xf numFmtId="0" fontId="7" fillId="0" borderId="31" xfId="5" applyNumberFormat="1" applyFont="1" applyBorder="1" applyAlignment="1"/>
    <xf numFmtId="0" fontId="7" fillId="0" borderId="15" xfId="4" applyNumberFormat="1" applyFont="1" applyBorder="1" applyAlignment="1"/>
    <xf numFmtId="0" fontId="7" fillId="0" borderId="16" xfId="4" applyNumberFormat="1" applyFont="1" applyBorder="1" applyAlignment="1"/>
    <xf numFmtId="3" fontId="7" fillId="0" borderId="16" xfId="4" applyNumberFormat="1" applyFont="1" applyBorder="1" applyAlignment="1"/>
    <xf numFmtId="2" fontId="7" fillId="0" borderId="16" xfId="7" applyNumberFormat="1" applyFont="1" applyBorder="1" applyAlignment="1"/>
    <xf numFmtId="0" fontId="0" fillId="0" borderId="0" xfId="0" applyFont="1" applyFill="1"/>
    <xf numFmtId="0" fontId="7" fillId="3" borderId="0" xfId="4" applyFont="1" applyFill="1"/>
    <xf numFmtId="0" fontId="7" fillId="0" borderId="5" xfId="4" applyNumberFormat="1" applyFont="1" applyFill="1" applyBorder="1" applyAlignment="1"/>
    <xf numFmtId="170" fontId="7" fillId="0" borderId="5" xfId="4" applyNumberFormat="1" applyFont="1" applyFill="1" applyBorder="1" applyAlignment="1"/>
    <xf numFmtId="0" fontId="7" fillId="0" borderId="2" xfId="4" applyNumberFormat="1" applyFont="1" applyFill="1" applyBorder="1" applyAlignment="1"/>
    <xf numFmtId="170" fontId="7" fillId="0" borderId="2" xfId="4" applyNumberFormat="1" applyFont="1" applyFill="1" applyBorder="1" applyAlignment="1"/>
    <xf numFmtId="170" fontId="8" fillId="0" borderId="2" xfId="4" applyNumberFormat="1" applyFont="1" applyFill="1" applyBorder="1" applyAlignment="1"/>
    <xf numFmtId="3" fontId="18" fillId="0" borderId="3" xfId="4" applyNumberFormat="1" applyFont="1" applyFill="1" applyBorder="1" applyAlignment="1"/>
    <xf numFmtId="3" fontId="15" fillId="0" borderId="0" xfId="4" applyNumberFormat="1" applyFont="1" applyFill="1"/>
    <xf numFmtId="10" fontId="0" fillId="0" borderId="0" xfId="9" applyNumberFormat="1" applyFont="1" applyAlignment="1"/>
    <xf numFmtId="165" fontId="30" fillId="0" borderId="0" xfId="10" applyNumberFormat="1" applyFont="1" applyFill="1" applyBorder="1"/>
    <xf numFmtId="10" fontId="0" fillId="0" borderId="0" xfId="9" applyNumberFormat="1" applyFont="1" applyFill="1" applyBorder="1"/>
    <xf numFmtId="0" fontId="38" fillId="0" borderId="0" xfId="0" applyFont="1" applyAlignment="1"/>
    <xf numFmtId="0" fontId="10" fillId="2" borderId="0" xfId="0" applyFont="1" applyFill="1" applyAlignment="1"/>
    <xf numFmtId="3" fontId="7" fillId="0" borderId="0" xfId="0" applyNumberFormat="1" applyFont="1" applyFill="1" applyBorder="1" applyAlignment="1"/>
    <xf numFmtId="165" fontId="11" fillId="0" borderId="0" xfId="0" applyNumberFormat="1" applyFont="1" applyFill="1" applyAlignment="1"/>
    <xf numFmtId="165" fontId="7" fillId="0" borderId="0" xfId="0" applyNumberFormat="1" applyFont="1" applyFill="1" applyBorder="1" applyAlignment="1"/>
    <xf numFmtId="0" fontId="7" fillId="0" borderId="0" xfId="0" applyFont="1" applyFill="1" applyAlignment="1"/>
    <xf numFmtId="3" fontId="37" fillId="0" borderId="0" xfId="10" applyNumberFormat="1" applyFont="1" applyFill="1" applyAlignment="1"/>
    <xf numFmtId="0" fontId="6" fillId="3" borderId="0" xfId="4" applyNumberFormat="1" applyFont="1" applyFill="1" applyBorder="1" applyAlignment="1"/>
    <xf numFmtId="0" fontId="8" fillId="0" borderId="2" xfId="4" applyNumberFormat="1" applyFont="1" applyFill="1" applyBorder="1" applyAlignment="1"/>
    <xf numFmtId="3" fontId="17" fillId="0" borderId="0" xfId="4" applyNumberFormat="1" applyFont="1" applyAlignment="1">
      <alignment wrapText="1"/>
    </xf>
    <xf numFmtId="166" fontId="15" fillId="0" borderId="0" xfId="0" applyNumberFormat="1" applyFont="1" applyBorder="1"/>
    <xf numFmtId="0" fontId="10" fillId="0" borderId="0" xfId="0" applyFont="1" applyFill="1" applyBorder="1" applyAlignment="1">
      <alignment horizontal="left" wrapText="1"/>
    </xf>
    <xf numFmtId="168" fontId="17" fillId="0" borderId="5" xfId="8" applyNumberFormat="1" applyFont="1" applyFill="1" applyBorder="1"/>
    <xf numFmtId="165" fontId="17" fillId="0" borderId="0" xfId="4" applyNumberFormat="1" applyFont="1"/>
    <xf numFmtId="3" fontId="17" fillId="0" borderId="5" xfId="4" applyNumberFormat="1" applyFont="1" applyFill="1" applyBorder="1" applyAlignment="1"/>
    <xf numFmtId="169" fontId="26" fillId="0" borderId="0" xfId="4" applyNumberFormat="1" applyFont="1" applyFill="1" applyBorder="1" applyAlignment="1"/>
    <xf numFmtId="166" fontId="25" fillId="0" borderId="0" xfId="0" applyNumberFormat="1" applyFont="1"/>
    <xf numFmtId="3" fontId="0" fillId="0" borderId="0" xfId="0" applyNumberFormat="1"/>
    <xf numFmtId="0" fontId="17" fillId="0" borderId="0" xfId="4" applyFont="1" applyBorder="1"/>
    <xf numFmtId="0" fontId="0" fillId="0" borderId="0" xfId="0" applyFill="1" applyBorder="1"/>
    <xf numFmtId="0" fontId="24" fillId="0" borderId="0" xfId="0" applyFont="1"/>
    <xf numFmtId="0" fontId="24" fillId="0" borderId="2" xfId="13" applyFont="1" applyBorder="1"/>
    <xf numFmtId="3" fontId="17" fillId="0" borderId="2" xfId="4" applyNumberFormat="1" applyFont="1" applyBorder="1"/>
    <xf numFmtId="4" fontId="17" fillId="0" borderId="2" xfId="4" applyNumberFormat="1" applyFont="1" applyBorder="1"/>
    <xf numFmtId="0" fontId="17" fillId="0" borderId="2" xfId="4" applyFont="1" applyBorder="1"/>
    <xf numFmtId="0" fontId="18" fillId="0" borderId="2" xfId="4" applyFont="1" applyBorder="1"/>
    <xf numFmtId="3" fontId="18" fillId="0" borderId="2" xfId="4" applyNumberFormat="1" applyFont="1" applyBorder="1"/>
    <xf numFmtId="0" fontId="21" fillId="4" borderId="16" xfId="13" applyFont="1" applyFill="1" applyBorder="1" applyAlignment="1">
      <alignment horizontal="left" wrapText="1"/>
    </xf>
    <xf numFmtId="165" fontId="24" fillId="0" borderId="2" xfId="13" applyNumberFormat="1" applyFont="1" applyBorder="1"/>
    <xf numFmtId="0" fontId="24" fillId="0" borderId="9" xfId="13" applyFont="1" applyBorder="1"/>
    <xf numFmtId="2" fontId="17" fillId="0" borderId="5" xfId="4" applyNumberFormat="1" applyFont="1" applyFill="1" applyBorder="1" applyAlignment="1"/>
    <xf numFmtId="2" fontId="18" fillId="0" borderId="5" xfId="4" applyNumberFormat="1" applyFont="1" applyFill="1" applyBorder="1" applyAlignment="1"/>
    <xf numFmtId="3" fontId="15" fillId="0" borderId="0" xfId="0" applyNumberFormat="1" applyFont="1" applyFill="1" applyBorder="1" applyAlignment="1"/>
    <xf numFmtId="0" fontId="4" fillId="0" borderId="0" xfId="0" applyFont="1" applyFill="1" applyBorder="1" applyAlignment="1">
      <alignment horizontal="right"/>
    </xf>
    <xf numFmtId="165" fontId="30" fillId="0" borderId="0" xfId="10" applyNumberFormat="1" applyFont="1" applyBorder="1" applyAlignment="1"/>
    <xf numFmtId="165" fontId="30" fillId="0" borderId="0" xfId="10" applyNumberFormat="1" applyFont="1" applyBorder="1"/>
    <xf numFmtId="3" fontId="17" fillId="0" borderId="0" xfId="4" applyNumberFormat="1" applyFont="1" applyFill="1"/>
    <xf numFmtId="0" fontId="14" fillId="0" borderId="0" xfId="4" applyFont="1"/>
    <xf numFmtId="0" fontId="30" fillId="8" borderId="0" xfId="0" applyFont="1" applyFill="1"/>
    <xf numFmtId="0" fontId="50" fillId="8" borderId="0" xfId="0" applyFont="1" applyFill="1"/>
    <xf numFmtId="0" fontId="48" fillId="8" borderId="0" xfId="0" applyFont="1" applyFill="1"/>
    <xf numFmtId="0" fontId="51" fillId="0" borderId="0" xfId="0" applyFont="1"/>
    <xf numFmtId="0" fontId="10" fillId="4" borderId="16" xfId="4" applyFont="1" applyFill="1" applyBorder="1" applyAlignment="1">
      <alignment horizontal="left"/>
    </xf>
    <xf numFmtId="0" fontId="10" fillId="7" borderId="0" xfId="0" applyFont="1" applyFill="1" applyAlignment="1">
      <alignment horizontal="left" wrapText="1"/>
    </xf>
    <xf numFmtId="0" fontId="10" fillId="4" borderId="16" xfId="4" applyFont="1" applyFill="1" applyBorder="1" applyAlignment="1">
      <alignment horizontal="left" wrapText="1"/>
    </xf>
    <xf numFmtId="0" fontId="51" fillId="0" borderId="0" xfId="0" applyFont="1" applyAlignment="1">
      <alignment horizontal="left"/>
    </xf>
    <xf numFmtId="0" fontId="7" fillId="0" borderId="3" xfId="5" applyFont="1" applyBorder="1"/>
    <xf numFmtId="172" fontId="6" fillId="0" borderId="0" xfId="10" applyNumberFormat="1" applyFont="1"/>
    <xf numFmtId="3" fontId="6" fillId="0" borderId="0" xfId="0" applyNumberFormat="1" applyFont="1"/>
    <xf numFmtId="165" fontId="6" fillId="0" borderId="0" xfId="0" applyNumberFormat="1" applyFont="1"/>
    <xf numFmtId="172" fontId="9" fillId="0" borderId="24" xfId="10" applyNumberFormat="1" applyFont="1" applyBorder="1"/>
    <xf numFmtId="3" fontId="6" fillId="0" borderId="25" xfId="0" applyNumberFormat="1" applyFont="1" applyBorder="1"/>
    <xf numFmtId="0" fontId="7" fillId="0" borderId="3" xfId="4" applyFont="1" applyBorder="1"/>
    <xf numFmtId="0" fontId="7" fillId="0" borderId="20" xfId="4" applyFont="1" applyBorder="1"/>
    <xf numFmtId="165" fontId="9" fillId="0" borderId="41" xfId="0" applyNumberFormat="1" applyFont="1" applyBorder="1"/>
    <xf numFmtId="172" fontId="9" fillId="0" borderId="42" xfId="10" applyNumberFormat="1" applyFont="1" applyBorder="1"/>
    <xf numFmtId="3" fontId="9" fillId="0" borderId="43" xfId="0" applyNumberFormat="1" applyFont="1" applyBorder="1"/>
    <xf numFmtId="43" fontId="7" fillId="0" borderId="0" xfId="4" applyNumberFormat="1" applyFont="1"/>
    <xf numFmtId="173" fontId="7" fillId="0" borderId="0" xfId="4" applyNumberFormat="1" applyFont="1"/>
    <xf numFmtId="3" fontId="20" fillId="0" borderId="2" xfId="4" applyNumberFormat="1" applyFont="1" applyFill="1" applyBorder="1" applyAlignment="1"/>
    <xf numFmtId="169" fontId="20" fillId="0" borderId="2" xfId="9" applyNumberFormat="1" applyFont="1" applyFill="1" applyBorder="1"/>
    <xf numFmtId="3" fontId="20" fillId="0" borderId="0" xfId="4" applyNumberFormat="1" applyFont="1" applyFill="1" applyBorder="1" applyAlignment="1"/>
    <xf numFmtId="166" fontId="7" fillId="0" borderId="0" xfId="4" applyNumberFormat="1" applyFont="1" applyFill="1" applyBorder="1" applyAlignment="1"/>
    <xf numFmtId="166" fontId="6" fillId="0" borderId="5" xfId="0" applyNumberFormat="1" applyFont="1" applyFill="1" applyBorder="1"/>
    <xf numFmtId="166" fontId="6" fillId="0" borderId="17" xfId="0" applyNumberFormat="1" applyFont="1" applyFill="1" applyBorder="1"/>
    <xf numFmtId="166" fontId="15" fillId="0" borderId="0" xfId="0" applyNumberFormat="1" applyFont="1" applyFill="1" applyBorder="1"/>
    <xf numFmtId="174" fontId="24" fillId="0" borderId="0" xfId="0" applyNumberFormat="1" applyFont="1"/>
    <xf numFmtId="0" fontId="41" fillId="0" borderId="0" xfId="2" applyFont="1" applyFill="1"/>
    <xf numFmtId="0" fontId="23" fillId="0" borderId="0" xfId="0" applyFont="1"/>
    <xf numFmtId="0" fontId="4" fillId="2" borderId="0" xfId="0" applyFont="1" applyFill="1"/>
    <xf numFmtId="172" fontId="0" fillId="0" borderId="0" xfId="10" applyNumberFormat="1" applyFont="1" applyFill="1"/>
    <xf numFmtId="0" fontId="30" fillId="11" borderId="0" xfId="0" applyFont="1" applyFill="1"/>
    <xf numFmtId="0" fontId="6" fillId="0" borderId="0" xfId="4" applyNumberFormat="1" applyFont="1" applyFill="1" applyBorder="1" applyAlignment="1">
      <alignment horizontal="left" wrapText="1"/>
    </xf>
    <xf numFmtId="165" fontId="0" fillId="0" borderId="0" xfId="0" applyNumberFormat="1" applyBorder="1"/>
    <xf numFmtId="172" fontId="0" fillId="0" borderId="0" xfId="10" applyNumberFormat="1" applyFont="1" applyFill="1" applyBorder="1"/>
    <xf numFmtId="165" fontId="1" fillId="0" borderId="0" xfId="10" applyNumberFormat="1" applyFont="1" applyBorder="1" applyAlignment="1"/>
    <xf numFmtId="165" fontId="4" fillId="7" borderId="0" xfId="10" applyNumberFormat="1" applyFont="1" applyFill="1" applyBorder="1" applyAlignment="1"/>
    <xf numFmtId="175" fontId="24" fillId="0" borderId="0" xfId="0" applyNumberFormat="1" applyFont="1"/>
    <xf numFmtId="0" fontId="18" fillId="0" borderId="0" xfId="4" applyFont="1" applyBorder="1"/>
    <xf numFmtId="0" fontId="24" fillId="0" borderId="0" xfId="0" applyFont="1" applyBorder="1"/>
    <xf numFmtId="3" fontId="8" fillId="0" borderId="0" xfId="4" applyNumberFormat="1" applyFont="1" applyBorder="1" applyAlignment="1"/>
    <xf numFmtId="166" fontId="6" fillId="0" borderId="0" xfId="0" applyNumberFormat="1" applyFont="1"/>
    <xf numFmtId="174" fontId="6" fillId="0" borderId="0" xfId="0" applyNumberFormat="1" applyFont="1"/>
    <xf numFmtId="0" fontId="44" fillId="0" borderId="0" xfId="0" applyFont="1"/>
    <xf numFmtId="0" fontId="9" fillId="0" borderId="0" xfId="0" applyFont="1" applyBorder="1" applyAlignment="1">
      <alignment vertical="center"/>
    </xf>
    <xf numFmtId="0" fontId="10" fillId="4" borderId="0" xfId="0" applyFont="1" applyFill="1" applyBorder="1" applyAlignment="1">
      <alignment vertical="center"/>
    </xf>
    <xf numFmtId="0" fontId="7" fillId="0" borderId="0" xfId="0" applyFont="1" applyFill="1" applyBorder="1" applyAlignment="1">
      <alignment vertical="center"/>
    </xf>
    <xf numFmtId="0" fontId="6" fillId="0" borderId="0" xfId="0" applyFont="1" applyBorder="1" applyAlignment="1">
      <alignment vertical="center"/>
    </xf>
    <xf numFmtId="0" fontId="6" fillId="0" borderId="0" xfId="0" applyFont="1" applyBorder="1" applyAlignment="1"/>
    <xf numFmtId="0" fontId="36" fillId="0" borderId="0" xfId="0" applyFont="1" applyFill="1" applyBorder="1" applyAlignment="1">
      <alignment vertical="center"/>
    </xf>
    <xf numFmtId="0" fontId="7" fillId="0" borderId="2" xfId="0" applyFont="1" applyBorder="1" applyAlignment="1">
      <alignment vertical="center"/>
    </xf>
    <xf numFmtId="0" fontId="6" fillId="0" borderId="9" xfId="0" applyFont="1" applyBorder="1" applyAlignment="1">
      <alignment vertical="center"/>
    </xf>
    <xf numFmtId="0" fontId="6" fillId="0" borderId="2" xfId="0" applyFont="1" applyBorder="1" applyAlignment="1">
      <alignment vertical="center"/>
    </xf>
    <xf numFmtId="0" fontId="7" fillId="0" borderId="0" xfId="2" applyFont="1" applyFill="1" applyAlignment="1">
      <alignment horizontal="left" wrapText="1"/>
    </xf>
    <xf numFmtId="0" fontId="52" fillId="0" borderId="0" xfId="0" applyFont="1" applyFill="1" applyAlignment="1">
      <alignment vertical="center"/>
    </xf>
    <xf numFmtId="167" fontId="7" fillId="0" borderId="0" xfId="0" applyNumberFormat="1" applyFont="1" applyFill="1" applyBorder="1" applyAlignment="1">
      <alignment vertical="center"/>
    </xf>
    <xf numFmtId="167" fontId="36" fillId="0" borderId="0" xfId="0" applyNumberFormat="1" applyFont="1" applyFill="1" applyBorder="1" applyAlignment="1">
      <alignment vertical="center"/>
    </xf>
    <xf numFmtId="167" fontId="52" fillId="0" borderId="0" xfId="0" applyNumberFormat="1" applyFont="1" applyFill="1" applyAlignment="1">
      <alignment vertical="center"/>
    </xf>
    <xf numFmtId="0" fontId="10" fillId="0" borderId="0" xfId="0" applyFont="1" applyBorder="1" applyAlignment="1">
      <alignment vertical="center"/>
    </xf>
    <xf numFmtId="167" fontId="7" fillId="0" borderId="2" xfId="0" applyNumberFormat="1" applyFont="1" applyBorder="1" applyAlignment="1">
      <alignment vertical="center"/>
    </xf>
    <xf numFmtId="167" fontId="6" fillId="0" borderId="9" xfId="0" applyNumberFormat="1" applyFont="1" applyBorder="1" applyAlignment="1">
      <alignment vertical="center"/>
    </xf>
    <xf numFmtId="167" fontId="6" fillId="0" borderId="2" xfId="0" applyNumberFormat="1" applyFont="1" applyBorder="1" applyAlignment="1">
      <alignment vertical="center"/>
    </xf>
    <xf numFmtId="0" fontId="7" fillId="0" borderId="0" xfId="2" applyFont="1" applyFill="1" applyAlignment="1">
      <alignment wrapText="1"/>
    </xf>
    <xf numFmtId="0" fontId="40" fillId="10" borderId="29" xfId="12" applyFill="1"/>
    <xf numFmtId="166" fontId="8" fillId="0" borderId="33" xfId="7" applyNumberFormat="1" applyFont="1" applyBorder="1" applyAlignment="1"/>
    <xf numFmtId="166" fontId="8" fillId="0" borderId="35" xfId="7" applyNumberFormat="1" applyFont="1" applyBorder="1" applyAlignment="1"/>
    <xf numFmtId="166" fontId="8" fillId="0" borderId="37" xfId="7" applyNumberFormat="1" applyFont="1" applyBorder="1" applyAlignment="1"/>
    <xf numFmtId="2" fontId="30" fillId="0" borderId="0" xfId="0" applyNumberFormat="1" applyFont="1" applyFill="1"/>
    <xf numFmtId="0" fontId="40" fillId="10" borderId="0" xfId="12" applyFill="1" applyBorder="1"/>
    <xf numFmtId="0" fontId="10" fillId="4" borderId="0" xfId="0" applyFont="1" applyFill="1" applyBorder="1" applyAlignment="1">
      <alignment horizontal="left"/>
    </xf>
    <xf numFmtId="0" fontId="10" fillId="4" borderId="44" xfId="4" applyNumberFormat="1" applyFont="1" applyFill="1" applyBorder="1" applyAlignment="1"/>
    <xf numFmtId="2" fontId="30" fillId="0" borderId="0" xfId="0" applyNumberFormat="1" applyFont="1" applyFill="1" applyBorder="1"/>
    <xf numFmtId="0" fontId="17" fillId="0" borderId="0" xfId="0" applyFont="1"/>
    <xf numFmtId="165" fontId="24" fillId="0" borderId="16" xfId="13" applyNumberFormat="1" applyFont="1" applyBorder="1"/>
    <xf numFmtId="165" fontId="24" fillId="0" borderId="48" xfId="13" applyNumberFormat="1" applyFont="1" applyBorder="1"/>
    <xf numFmtId="165" fontId="24" fillId="0" borderId="49" xfId="13" applyNumberFormat="1" applyFont="1" applyBorder="1"/>
    <xf numFmtId="165" fontId="24" fillId="0" borderId="50" xfId="13" applyNumberFormat="1" applyFont="1" applyBorder="1"/>
    <xf numFmtId="165" fontId="24" fillId="0" borderId="51" xfId="13" applyNumberFormat="1" applyFont="1" applyBorder="1"/>
    <xf numFmtId="0" fontId="54" fillId="12" borderId="18" xfId="15" applyFont="1" applyBorder="1" applyAlignment="1">
      <alignment horizontal="left" wrapText="1"/>
    </xf>
    <xf numFmtId="0" fontId="54" fillId="12" borderId="17" xfId="15" applyFont="1" applyBorder="1" applyAlignment="1">
      <alignment horizontal="left" wrapText="1"/>
    </xf>
    <xf numFmtId="165" fontId="24" fillId="0" borderId="52" xfId="13" applyNumberFormat="1" applyFont="1" applyBorder="1"/>
    <xf numFmtId="165" fontId="24" fillId="0" borderId="53" xfId="13" applyNumberFormat="1" applyFont="1" applyBorder="1"/>
    <xf numFmtId="0" fontId="54" fillId="12" borderId="19" xfId="15" applyFont="1" applyBorder="1" applyAlignment="1">
      <alignment horizontal="left" wrapText="1"/>
    </xf>
    <xf numFmtId="0" fontId="21" fillId="13" borderId="18" xfId="13" applyFont="1" applyFill="1" applyBorder="1" applyAlignment="1">
      <alignment horizontal="left" wrapText="1"/>
    </xf>
    <xf numFmtId="0" fontId="21" fillId="13" borderId="17" xfId="13" applyFont="1" applyFill="1" applyBorder="1" applyAlignment="1">
      <alignment horizontal="left" wrapText="1"/>
    </xf>
    <xf numFmtId="0" fontId="21" fillId="13" borderId="19" xfId="13" applyFont="1" applyFill="1" applyBorder="1" applyAlignment="1">
      <alignment horizontal="left" wrapText="1"/>
    </xf>
    <xf numFmtId="0" fontId="21" fillId="14" borderId="47" xfId="13" applyFont="1" applyFill="1" applyBorder="1" applyAlignment="1">
      <alignment horizontal="left" wrapText="1"/>
    </xf>
    <xf numFmtId="0" fontId="21" fillId="13" borderId="47" xfId="13" applyFont="1" applyFill="1" applyBorder="1" applyAlignment="1">
      <alignment horizontal="left" wrapText="1"/>
    </xf>
    <xf numFmtId="0" fontId="0" fillId="10" borderId="0" xfId="0" applyFill="1"/>
    <xf numFmtId="166" fontId="6" fillId="0" borderId="5" xfId="0" applyNumberFormat="1" applyFont="1" applyBorder="1"/>
    <xf numFmtId="166" fontId="6" fillId="0" borderId="45" xfId="0" applyNumberFormat="1" applyFont="1" applyBorder="1"/>
    <xf numFmtId="166" fontId="6" fillId="0" borderId="17" xfId="0" applyNumberFormat="1" applyFont="1" applyBorder="1"/>
    <xf numFmtId="166" fontId="6" fillId="0" borderId="46" xfId="0" applyNumberFormat="1" applyFont="1" applyBorder="1"/>
    <xf numFmtId="0" fontId="10" fillId="4" borderId="40" xfId="0" applyFont="1" applyFill="1" applyBorder="1" applyAlignment="1">
      <alignment horizontal="left"/>
    </xf>
    <xf numFmtId="0" fontId="24" fillId="0" borderId="0" xfId="0" applyFont="1" applyFill="1"/>
    <xf numFmtId="0" fontId="23" fillId="0" borderId="0" xfId="0" applyFont="1" applyFill="1"/>
    <xf numFmtId="0" fontId="17" fillId="0" borderId="0" xfId="2" applyFont="1" applyFill="1" applyAlignment="1"/>
    <xf numFmtId="0" fontId="21" fillId="4" borderId="18" xfId="13" applyFont="1" applyFill="1" applyBorder="1" applyAlignment="1">
      <alignment horizontal="left" wrapText="1"/>
    </xf>
    <xf numFmtId="172" fontId="24" fillId="0" borderId="48" xfId="10" applyNumberFormat="1" applyFont="1" applyBorder="1"/>
    <xf numFmtId="0" fontId="24" fillId="10" borderId="0" xfId="0" applyFont="1" applyFill="1"/>
    <xf numFmtId="4" fontId="18" fillId="0" borderId="2" xfId="4" applyNumberFormat="1" applyFont="1" applyBorder="1"/>
    <xf numFmtId="4" fontId="17" fillId="0" borderId="2" xfId="4" applyNumberFormat="1" applyFont="1" applyFill="1" applyBorder="1"/>
    <xf numFmtId="0" fontId="24" fillId="0" borderId="2" xfId="13" applyFont="1" applyFill="1" applyBorder="1"/>
    <xf numFmtId="0" fontId="17" fillId="0" borderId="2" xfId="4" applyFont="1" applyFill="1" applyBorder="1"/>
    <xf numFmtId="3" fontId="17" fillId="0" borderId="2" xfId="4" applyNumberFormat="1" applyFont="1" applyFill="1" applyBorder="1"/>
    <xf numFmtId="4" fontId="18" fillId="0" borderId="2" xfId="4" applyNumberFormat="1" applyFont="1" applyFill="1" applyBorder="1"/>
    <xf numFmtId="3" fontId="18" fillId="0" borderId="2" xfId="4" applyNumberFormat="1" applyFont="1" applyFill="1" applyBorder="1"/>
    <xf numFmtId="0" fontId="21" fillId="4" borderId="4" xfId="4" applyFont="1" applyFill="1" applyBorder="1" applyAlignment="1">
      <alignment horizontal="left"/>
    </xf>
    <xf numFmtId="3" fontId="21" fillId="4" borderId="4" xfId="4" applyNumberFormat="1" applyFont="1" applyFill="1" applyBorder="1" applyAlignment="1">
      <alignment horizontal="left" wrapText="1"/>
    </xf>
    <xf numFmtId="0" fontId="21" fillId="4" borderId="4" xfId="4" applyFont="1" applyFill="1" applyBorder="1" applyAlignment="1">
      <alignment horizontal="left" wrapText="1"/>
    </xf>
    <xf numFmtId="4" fontId="24" fillId="0" borderId="0" xfId="0" applyNumberFormat="1" applyFont="1"/>
    <xf numFmtId="169" fontId="17" fillId="0" borderId="0" xfId="8" applyNumberFormat="1" applyFont="1" applyFill="1" applyBorder="1"/>
    <xf numFmtId="169" fontId="17" fillId="0" borderId="0" xfId="4" applyNumberFormat="1" applyFont="1" applyFill="1" applyBorder="1"/>
    <xf numFmtId="3" fontId="17" fillId="0" borderId="55" xfId="4" applyNumberFormat="1" applyFont="1" applyBorder="1" applyAlignment="1"/>
    <xf numFmtId="165" fontId="24" fillId="0" borderId="3" xfId="0" applyNumberFormat="1" applyFont="1" applyFill="1" applyBorder="1" applyAlignment="1"/>
    <xf numFmtId="165" fontId="20" fillId="0" borderId="3" xfId="0" applyNumberFormat="1" applyFont="1" applyFill="1" applyBorder="1" applyAlignment="1"/>
    <xf numFmtId="0" fontId="21" fillId="6" borderId="26" xfId="4" applyNumberFormat="1" applyFont="1" applyFill="1" applyBorder="1" applyAlignment="1"/>
    <xf numFmtId="0" fontId="21" fillId="6" borderId="27" xfId="4" applyNumberFormat="1" applyFont="1" applyFill="1" applyBorder="1" applyAlignment="1"/>
    <xf numFmtId="168" fontId="17" fillId="0" borderId="56" xfId="8" applyNumberFormat="1" applyFont="1" applyFill="1" applyBorder="1"/>
    <xf numFmtId="0" fontId="17" fillId="0" borderId="54" xfId="4" applyNumberFormat="1" applyFont="1" applyBorder="1" applyAlignment="1"/>
    <xf numFmtId="0" fontId="17" fillId="0" borderId="0" xfId="4" applyFont="1" applyFill="1" applyBorder="1" applyAlignment="1"/>
    <xf numFmtId="0" fontId="17" fillId="0" borderId="13" xfId="4" applyNumberFormat="1" applyFont="1" applyFill="1" applyBorder="1" applyAlignment="1">
      <alignment wrapText="1"/>
    </xf>
    <xf numFmtId="168" fontId="26" fillId="0" borderId="19" xfId="4" applyNumberFormat="1" applyFont="1" applyFill="1" applyBorder="1" applyAlignment="1"/>
    <xf numFmtId="172" fontId="17" fillId="0" borderId="0" xfId="10" applyNumberFormat="1" applyFont="1"/>
    <xf numFmtId="172" fontId="17" fillId="0" borderId="0" xfId="0" applyNumberFormat="1" applyFont="1" applyFill="1"/>
    <xf numFmtId="165" fontId="17" fillId="0" borderId="0" xfId="0" applyNumberFormat="1" applyFont="1" applyFill="1"/>
    <xf numFmtId="176" fontId="6" fillId="0" borderId="0" xfId="9" applyNumberFormat="1" applyFont="1" applyFill="1" applyBorder="1" applyAlignment="1"/>
    <xf numFmtId="0" fontId="10" fillId="4" borderId="0" xfId="4" applyNumberFormat="1" applyFont="1" applyFill="1" applyBorder="1" applyAlignment="1">
      <alignment horizontal="left"/>
    </xf>
    <xf numFmtId="0" fontId="10" fillId="4" borderId="0" xfId="4" applyNumberFormat="1" applyFont="1" applyFill="1" applyBorder="1" applyAlignment="1">
      <alignment horizontal="left" wrapText="1"/>
    </xf>
    <xf numFmtId="178" fontId="7" fillId="0" borderId="5" xfId="4" applyNumberFormat="1" applyFont="1" applyBorder="1" applyAlignment="1"/>
    <xf numFmtId="178" fontId="7" fillId="0" borderId="2" xfId="4" applyNumberFormat="1" applyFont="1" applyBorder="1" applyAlignment="1"/>
    <xf numFmtId="178" fontId="8" fillId="0" borderId="2" xfId="4" applyNumberFormat="1" applyFont="1" applyBorder="1" applyAlignment="1"/>
    <xf numFmtId="177" fontId="7" fillId="0" borderId="5" xfId="4" applyNumberFormat="1" applyFont="1" applyFill="1" applyBorder="1" applyAlignment="1"/>
    <xf numFmtId="177" fontId="7" fillId="0" borderId="2" xfId="4" applyNumberFormat="1" applyFont="1" applyFill="1" applyBorder="1" applyAlignment="1"/>
    <xf numFmtId="177" fontId="8" fillId="0" borderId="2" xfId="4" applyNumberFormat="1" applyFont="1" applyFill="1" applyBorder="1" applyAlignment="1"/>
    <xf numFmtId="2" fontId="8" fillId="0" borderId="2" xfId="4" applyNumberFormat="1" applyFont="1" applyBorder="1" applyAlignment="1"/>
    <xf numFmtId="49" fontId="9" fillId="0" borderId="0" xfId="10" applyNumberFormat="1" applyFont="1"/>
    <xf numFmtId="0" fontId="0" fillId="0" borderId="0" xfId="0" applyAlignment="1">
      <alignment vertical="center" wrapText="1"/>
    </xf>
    <xf numFmtId="0" fontId="56" fillId="0" borderId="0" xfId="0" applyFont="1" applyAlignment="1">
      <alignment vertical="center" wrapText="1"/>
    </xf>
    <xf numFmtId="0" fontId="57" fillId="0" borderId="0" xfId="0" applyFont="1" applyAlignment="1">
      <alignment vertical="center" wrapText="1"/>
    </xf>
    <xf numFmtId="0" fontId="58" fillId="0" borderId="0" xfId="0" applyFont="1" applyAlignment="1">
      <alignment vertical="center" wrapText="1"/>
    </xf>
    <xf numFmtId="0" fontId="30" fillId="0" borderId="0" xfId="0" applyFont="1" applyFill="1"/>
    <xf numFmtId="165" fontId="0" fillId="0" borderId="0" xfId="0" applyNumberFormat="1" applyFont="1" applyFill="1"/>
    <xf numFmtId="165" fontId="0" fillId="0" borderId="0" xfId="0" applyNumberFormat="1" applyFill="1"/>
    <xf numFmtId="172" fontId="0" fillId="0" borderId="0" xfId="0" applyNumberFormat="1" applyFill="1"/>
    <xf numFmtId="0" fontId="48" fillId="11" borderId="0" xfId="0" applyFont="1" applyFill="1"/>
    <xf numFmtId="165" fontId="38" fillId="11" borderId="0" xfId="0" applyNumberFormat="1" applyFont="1" applyFill="1"/>
    <xf numFmtId="0" fontId="59" fillId="3" borderId="29" xfId="12" applyNumberFormat="1" applyFont="1" applyFill="1" applyAlignment="1"/>
    <xf numFmtId="0" fontId="7" fillId="0" borderId="0" xfId="4" applyFont="1" applyAlignment="1">
      <alignment wrapText="1"/>
    </xf>
    <xf numFmtId="0" fontId="60" fillId="0" borderId="0" xfId="0" applyFont="1"/>
    <xf numFmtId="0" fontId="0" fillId="15" borderId="0" xfId="0" applyFont="1" applyFill="1"/>
    <xf numFmtId="165" fontId="0" fillId="15" borderId="0" xfId="0" applyNumberFormat="1" applyFont="1" applyFill="1"/>
    <xf numFmtId="172" fontId="0" fillId="0" borderId="0" xfId="0" applyNumberFormat="1" applyBorder="1"/>
    <xf numFmtId="165" fontId="30" fillId="11" borderId="0" xfId="10" applyNumberFormat="1" applyFont="1" applyFill="1" applyBorder="1"/>
    <xf numFmtId="0" fontId="60" fillId="11" borderId="21" xfId="0" applyFont="1" applyFill="1" applyBorder="1"/>
    <xf numFmtId="0" fontId="46" fillId="11" borderId="32" xfId="0" applyFont="1" applyFill="1" applyBorder="1"/>
    <xf numFmtId="9" fontId="46" fillId="11" borderId="32" xfId="0" applyNumberFormat="1" applyFont="1" applyFill="1" applyBorder="1"/>
    <xf numFmtId="9" fontId="46" fillId="11" borderId="22" xfId="0" applyNumberFormat="1" applyFont="1" applyFill="1" applyBorder="1"/>
    <xf numFmtId="0" fontId="0" fillId="0" borderId="57" xfId="0" quotePrefix="1" applyBorder="1"/>
    <xf numFmtId="165" fontId="0" fillId="0" borderId="58" xfId="0" applyNumberFormat="1" applyBorder="1"/>
    <xf numFmtId="0" fontId="0" fillId="0" borderId="57" xfId="0" applyBorder="1"/>
    <xf numFmtId="165" fontId="0" fillId="0" borderId="58" xfId="10" applyNumberFormat="1" applyFont="1" applyFill="1" applyBorder="1"/>
    <xf numFmtId="0" fontId="30" fillId="11" borderId="57" xfId="0" applyFont="1" applyFill="1" applyBorder="1"/>
    <xf numFmtId="0" fontId="30" fillId="11" borderId="0" xfId="0" applyFont="1" applyFill="1" applyBorder="1"/>
    <xf numFmtId="165" fontId="0" fillId="11" borderId="0" xfId="0" applyNumberFormat="1" applyFont="1" applyFill="1" applyBorder="1"/>
    <xf numFmtId="165" fontId="30" fillId="11" borderId="58" xfId="0" applyNumberFormat="1" applyFont="1" applyFill="1" applyBorder="1"/>
    <xf numFmtId="0" fontId="30" fillId="11" borderId="59" xfId="0" applyFont="1" applyFill="1" applyBorder="1"/>
    <xf numFmtId="0" fontId="30" fillId="11" borderId="60" xfId="0" applyFont="1" applyFill="1" applyBorder="1"/>
    <xf numFmtId="165" fontId="0" fillId="11" borderId="60" xfId="0" applyNumberFormat="1" applyFont="1" applyFill="1" applyBorder="1"/>
    <xf numFmtId="165" fontId="30" fillId="11" borderId="61" xfId="10" applyNumberFormat="1" applyFont="1" applyFill="1" applyBorder="1"/>
    <xf numFmtId="165" fontId="0" fillId="15" borderId="0" xfId="0" applyNumberFormat="1" applyFont="1" applyFill="1" applyBorder="1"/>
    <xf numFmtId="165" fontId="1" fillId="15" borderId="0" xfId="10" applyNumberFormat="1" applyFont="1" applyFill="1" applyBorder="1"/>
    <xf numFmtId="0" fontId="61" fillId="0" borderId="0" xfId="0" applyFont="1"/>
    <xf numFmtId="172" fontId="9" fillId="0" borderId="0" xfId="10" applyNumberFormat="1" applyFont="1"/>
    <xf numFmtId="3" fontId="49" fillId="0" borderId="0" xfId="0" applyNumberFormat="1" applyFont="1" applyFill="1" applyBorder="1" applyAlignment="1"/>
    <xf numFmtId="172" fontId="25" fillId="0" borderId="0" xfId="10" applyNumberFormat="1" applyFont="1"/>
    <xf numFmtId="172" fontId="25" fillId="0" borderId="0" xfId="0" applyNumberFormat="1" applyFont="1"/>
    <xf numFmtId="0" fontId="6" fillId="0" borderId="0" xfId="0" applyFont="1" applyFill="1" applyAlignment="1"/>
    <xf numFmtId="0" fontId="62" fillId="0" borderId="0" xfId="0" applyFont="1" applyBorder="1" applyAlignment="1">
      <alignment vertical="center"/>
    </xf>
    <xf numFmtId="3" fontId="62" fillId="0" borderId="0" xfId="0" applyNumberFormat="1" applyFont="1" applyBorder="1" applyAlignment="1">
      <alignment vertical="center"/>
    </xf>
    <xf numFmtId="172" fontId="30" fillId="0" borderId="0" xfId="0" applyNumberFormat="1" applyFont="1" applyFill="1" applyBorder="1"/>
    <xf numFmtId="172" fontId="30" fillId="0" borderId="0" xfId="10" applyNumberFormat="1" applyFont="1" applyFill="1" applyBorder="1"/>
    <xf numFmtId="0" fontId="3" fillId="10" borderId="1" xfId="3" applyFill="1" applyAlignment="1">
      <alignment horizontal="right"/>
    </xf>
    <xf numFmtId="49" fontId="4" fillId="7" borderId="0" xfId="10" applyNumberFormat="1" applyFont="1" applyFill="1" applyBorder="1" applyAlignment="1">
      <alignment horizontal="right"/>
    </xf>
    <xf numFmtId="49" fontId="4" fillId="7" borderId="0" xfId="0" applyNumberFormat="1" applyFont="1" applyFill="1" applyBorder="1" applyAlignment="1">
      <alignment horizontal="right"/>
    </xf>
    <xf numFmtId="49" fontId="4" fillId="2" borderId="0" xfId="0" applyNumberFormat="1" applyFont="1" applyFill="1" applyAlignment="1">
      <alignment horizontal="right"/>
    </xf>
    <xf numFmtId="49" fontId="4" fillId="2" borderId="0" xfId="0" applyNumberFormat="1" applyFont="1" applyFill="1" applyBorder="1" applyAlignment="1">
      <alignment horizontal="right"/>
    </xf>
    <xf numFmtId="0" fontId="0" fillId="15" borderId="0" xfId="0" quotePrefix="1" applyFill="1"/>
    <xf numFmtId="0" fontId="0" fillId="15" borderId="0" xfId="0" applyFill="1"/>
    <xf numFmtId="165" fontId="0" fillId="15" borderId="0" xfId="0" applyNumberFormat="1" applyFill="1"/>
    <xf numFmtId="165" fontId="0" fillId="15" borderId="0" xfId="0" applyNumberFormat="1" applyFill="1" applyBorder="1"/>
    <xf numFmtId="165" fontId="0" fillId="15" borderId="0" xfId="10" applyNumberFormat="1" applyFont="1" applyFill="1" applyBorder="1"/>
    <xf numFmtId="0" fontId="15" fillId="0" borderId="0" xfId="4" applyFont="1" applyFill="1"/>
    <xf numFmtId="0" fontId="10" fillId="4" borderId="62" xfId="4" applyFont="1" applyFill="1" applyBorder="1" applyAlignment="1">
      <alignment horizontal="left"/>
    </xf>
    <xf numFmtId="0" fontId="40" fillId="8" borderId="0" xfId="12" applyFill="1" applyBorder="1"/>
    <xf numFmtId="0" fontId="6" fillId="0" borderId="3" xfId="0" applyFont="1" applyBorder="1"/>
    <xf numFmtId="3" fontId="6" fillId="0" borderId="2" xfId="0" applyNumberFormat="1" applyFont="1" applyBorder="1"/>
    <xf numFmtId="3" fontId="6" fillId="0" borderId="63" xfId="0" applyNumberFormat="1" applyFont="1" applyBorder="1" applyAlignment="1">
      <alignment horizontal="right"/>
    </xf>
    <xf numFmtId="0" fontId="9" fillId="0" borderId="64" xfId="0" applyFont="1" applyBorder="1"/>
    <xf numFmtId="3" fontId="9" fillId="0" borderId="66" xfId="0" applyNumberFormat="1" applyFont="1" applyBorder="1" applyAlignment="1">
      <alignment horizontal="right"/>
    </xf>
    <xf numFmtId="10" fontId="0" fillId="0" borderId="0" xfId="0" applyNumberFormat="1" applyAlignment="1"/>
    <xf numFmtId="3" fontId="0" fillId="0" borderId="0" xfId="0" applyNumberFormat="1" applyFont="1" applyFill="1" applyAlignment="1"/>
    <xf numFmtId="172" fontId="0" fillId="0" borderId="0" xfId="10" applyNumberFormat="1" applyFont="1" applyAlignment="1"/>
    <xf numFmtId="172" fontId="0" fillId="0" borderId="0" xfId="0" applyNumberFormat="1" applyAlignment="1"/>
    <xf numFmtId="165" fontId="0" fillId="0" borderId="0" xfId="0" applyNumberFormat="1" applyAlignment="1"/>
    <xf numFmtId="3" fontId="18" fillId="0" borderId="0" xfId="4" applyNumberFormat="1" applyFont="1" applyBorder="1" applyAlignment="1"/>
    <xf numFmtId="0" fontId="40" fillId="3" borderId="0" xfId="12" applyFill="1" applyBorder="1"/>
    <xf numFmtId="0" fontId="24" fillId="0" borderId="0" xfId="4" applyNumberFormat="1" applyFont="1" applyFill="1" applyBorder="1" applyAlignment="1">
      <alignment horizontal="left"/>
    </xf>
    <xf numFmtId="3" fontId="24" fillId="0" borderId="0" xfId="4" applyNumberFormat="1" applyFont="1" applyFill="1" applyBorder="1" applyAlignment="1"/>
    <xf numFmtId="3" fontId="21" fillId="5" borderId="24" xfId="4" applyNumberFormat="1" applyFont="1" applyFill="1" applyBorder="1" applyAlignment="1">
      <alignment horizontal="right"/>
    </xf>
    <xf numFmtId="3" fontId="21" fillId="9" borderId="0" xfId="4" applyNumberFormat="1" applyFont="1" applyFill="1" applyBorder="1" applyAlignment="1"/>
    <xf numFmtId="0" fontId="10" fillId="9" borderId="0" xfId="4" applyFont="1" applyFill="1"/>
    <xf numFmtId="0" fontId="26" fillId="0" borderId="13" xfId="4" applyNumberFormat="1" applyFont="1" applyFill="1" applyBorder="1" applyAlignment="1">
      <alignment wrapText="1"/>
    </xf>
    <xf numFmtId="169" fontId="26" fillId="0" borderId="0" xfId="9" applyNumberFormat="1" applyFont="1" applyFill="1" applyBorder="1"/>
    <xf numFmtId="3" fontId="17" fillId="0" borderId="23" xfId="4" applyNumberFormat="1" applyFont="1" applyFill="1" applyBorder="1" applyAlignment="1"/>
    <xf numFmtId="1" fontId="25" fillId="0" borderId="0" xfId="0" applyNumberFormat="1" applyFont="1"/>
    <xf numFmtId="0" fontId="6" fillId="0" borderId="3" xfId="0" applyFont="1" applyFill="1" applyBorder="1"/>
    <xf numFmtId="3" fontId="6" fillId="0" borderId="2" xfId="0" applyNumberFormat="1" applyFont="1" applyFill="1" applyBorder="1"/>
    <xf numFmtId="3" fontId="6" fillId="0" borderId="63" xfId="0" applyNumberFormat="1" applyFont="1" applyFill="1" applyBorder="1" applyAlignment="1">
      <alignment horizontal="right"/>
    </xf>
    <xf numFmtId="0" fontId="30" fillId="0" borderId="0" xfId="0" applyFont="1"/>
    <xf numFmtId="3" fontId="30" fillId="0" borderId="0" xfId="0" applyNumberFormat="1" applyFont="1"/>
    <xf numFmtId="0" fontId="10" fillId="2" borderId="67" xfId="0" applyFont="1" applyFill="1" applyBorder="1" applyAlignment="1"/>
    <xf numFmtId="0" fontId="4" fillId="2" borderId="68" xfId="0" applyFont="1" applyFill="1" applyBorder="1" applyAlignment="1">
      <alignment horizontal="right"/>
    </xf>
    <xf numFmtId="0" fontId="0" fillId="0" borderId="0" xfId="0" applyAlignment="1">
      <alignment horizontal="right"/>
    </xf>
    <xf numFmtId="169" fontId="0" fillId="0" borderId="0" xfId="9" applyNumberFormat="1" applyFont="1" applyAlignment="1"/>
    <xf numFmtId="10" fontId="0" fillId="0" borderId="0" xfId="0" applyNumberFormat="1"/>
    <xf numFmtId="10" fontId="0" fillId="0" borderId="0" xfId="0" applyNumberFormat="1" applyFont="1" applyFill="1" applyBorder="1"/>
    <xf numFmtId="0" fontId="37" fillId="0" borderId="0" xfId="0" applyFont="1" applyAlignment="1"/>
    <xf numFmtId="2" fontId="0" fillId="0" borderId="0" xfId="0" applyNumberFormat="1" applyFont="1" applyFill="1" applyAlignment="1"/>
    <xf numFmtId="2" fontId="30" fillId="0" borderId="0" xfId="0" applyNumberFormat="1" applyFont="1" applyFill="1" applyAlignment="1"/>
    <xf numFmtId="0" fontId="45" fillId="3" borderId="0" xfId="4" applyFont="1" applyFill="1"/>
    <xf numFmtId="0" fontId="64" fillId="0" borderId="0" xfId="0" applyFont="1" applyFill="1"/>
    <xf numFmtId="3" fontId="6" fillId="0" borderId="0" xfId="0" applyNumberFormat="1" applyFont="1" applyFill="1"/>
    <xf numFmtId="3" fontId="9" fillId="0" borderId="0" xfId="0" applyNumberFormat="1" applyFont="1" applyFill="1"/>
    <xf numFmtId="3" fontId="9" fillId="0" borderId="65" xfId="0" applyNumberFormat="1" applyFont="1" applyFill="1" applyBorder="1"/>
    <xf numFmtId="3" fontId="0" fillId="0" borderId="0" xfId="0" applyNumberFormat="1" applyFont="1" applyFill="1"/>
    <xf numFmtId="0" fontId="10" fillId="4" borderId="0" xfId="0" applyFont="1" applyFill="1" applyBorder="1" applyAlignment="1">
      <alignment horizontal="left" wrapText="1"/>
    </xf>
    <xf numFmtId="0" fontId="7" fillId="0" borderId="0" xfId="4" applyFont="1" applyFill="1" applyAlignment="1">
      <alignment wrapText="1"/>
    </xf>
    <xf numFmtId="0" fontId="21" fillId="6" borderId="7" xfId="4" applyNumberFormat="1" applyFont="1" applyFill="1" applyBorder="1" applyAlignment="1">
      <alignment horizontal="center"/>
    </xf>
    <xf numFmtId="3" fontId="21" fillId="6" borderId="7" xfId="4" applyNumberFormat="1" applyFont="1" applyFill="1" applyBorder="1" applyAlignment="1"/>
    <xf numFmtId="0" fontId="21" fillId="6" borderId="7" xfId="4" applyNumberFormat="1" applyFont="1" applyFill="1" applyBorder="1" applyAlignment="1"/>
    <xf numFmtId="0" fontId="21" fillId="5" borderId="7" xfId="4" applyNumberFormat="1" applyFont="1" applyFill="1" applyBorder="1" applyAlignment="1"/>
    <xf numFmtId="168" fontId="18" fillId="0" borderId="11" xfId="8" applyNumberFormat="1" applyFont="1" applyBorder="1"/>
    <xf numFmtId="0" fontId="21" fillId="6" borderId="30" xfId="4" applyNumberFormat="1" applyFont="1" applyFill="1" applyBorder="1" applyAlignment="1"/>
    <xf numFmtId="0" fontId="65" fillId="0" borderId="0" xfId="0" applyFont="1"/>
    <xf numFmtId="0" fontId="65" fillId="0" borderId="0" xfId="0" applyFont="1" applyAlignment="1">
      <alignment horizontal="left"/>
    </xf>
    <xf numFmtId="1" fontId="65" fillId="0" borderId="0" xfId="0" applyNumberFormat="1" applyFont="1"/>
    <xf numFmtId="0" fontId="66" fillId="0" borderId="3" xfId="0" applyFont="1" applyBorder="1"/>
    <xf numFmtId="3" fontId="66" fillId="0" borderId="2" xfId="0" applyNumberFormat="1" applyFont="1" applyBorder="1"/>
    <xf numFmtId="0" fontId="37" fillId="0" borderId="0" xfId="0" applyFont="1" applyAlignment="1">
      <alignment horizontal="left" wrapText="1"/>
    </xf>
    <xf numFmtId="0" fontId="9" fillId="0" borderId="0" xfId="4" applyFont="1" applyAlignment="1">
      <alignment horizontal="left" vertical="center" wrapText="1"/>
    </xf>
    <xf numFmtId="0" fontId="0" fillId="0" borderId="0" xfId="0" applyFont="1" applyAlignment="1">
      <alignment horizontal="left" wrapText="1"/>
    </xf>
    <xf numFmtId="0" fontId="7" fillId="0" borderId="0" xfId="0" applyFont="1" applyAlignment="1">
      <alignment horizontal="left" wrapText="1"/>
    </xf>
    <xf numFmtId="0" fontId="6" fillId="0" borderId="0" xfId="0" applyFont="1" applyAlignment="1">
      <alignment horizontal="left" wrapText="1"/>
    </xf>
    <xf numFmtId="0" fontId="7" fillId="0" borderId="0" xfId="0" applyFont="1" applyFill="1" applyAlignment="1">
      <alignment horizontal="left" wrapText="1"/>
    </xf>
    <xf numFmtId="0" fontId="7" fillId="0" borderId="0" xfId="4" applyFont="1" applyAlignment="1">
      <alignment horizontal="left" wrapText="1"/>
    </xf>
    <xf numFmtId="0" fontId="24" fillId="0" borderId="0" xfId="0" applyFont="1" applyAlignment="1">
      <alignment horizontal="left" wrapText="1"/>
    </xf>
    <xf numFmtId="0" fontId="17" fillId="0" borderId="0" xfId="2" applyFont="1" applyFill="1" applyAlignment="1">
      <alignment horizontal="left" wrapText="1"/>
    </xf>
  </cellXfs>
  <cellStyles count="16">
    <cellStyle name="Aksentti6" xfId="15" builtinId="49"/>
    <cellStyle name="Erotin 2" xfId="1" xr:uid="{00000000-0005-0000-0000-000000000000}"/>
    <cellStyle name="Normaali" xfId="0" builtinId="0"/>
    <cellStyle name="Normaali 11" xfId="7" xr:uid="{00000000-0005-0000-0000-000002000000}"/>
    <cellStyle name="Normaali 13" xfId="13" xr:uid="{BE8D02C9-179D-4B07-ABDC-5C0FB1C343D4}"/>
    <cellStyle name="Normaali 2" xfId="4" xr:uid="{00000000-0005-0000-0000-000003000000}"/>
    <cellStyle name="Normaali 2 2 2" xfId="11" xr:uid="{00000000-0005-0000-0000-000004000000}"/>
    <cellStyle name="Normaali 2 3" xfId="14" xr:uid="{73527740-3C0F-4B21-A486-46F10BA75326}"/>
    <cellStyle name="Normaali 5" xfId="6" xr:uid="{00000000-0005-0000-0000-000005000000}"/>
    <cellStyle name="Normaali 9" xfId="5" xr:uid="{00000000-0005-0000-0000-000006000000}"/>
    <cellStyle name="Otsikko" xfId="2" builtinId="15"/>
    <cellStyle name="Otsikko 2" xfId="12" builtinId="17"/>
    <cellStyle name="Otsikko 3" xfId="3" builtinId="18"/>
    <cellStyle name="Pilkku" xfId="10" builtinId="3"/>
    <cellStyle name="Prosenttia" xfId="9" builtinId="5"/>
    <cellStyle name="Prosenttia 2" xfId="8" xr:uid="{00000000-0005-0000-0000-00000C000000}"/>
  </cellStyles>
  <dxfs count="221">
    <dxf>
      <font>
        <b val="0"/>
        <i val="0"/>
        <strike val="0"/>
        <condense val="0"/>
        <extend val="0"/>
        <outline val="0"/>
        <shadow val="0"/>
        <u val="none"/>
        <vertAlign val="baseline"/>
        <sz val="11"/>
        <color auto="1"/>
        <name val="Arial"/>
        <family val="2"/>
        <scheme val="maj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78" formatCode="0.000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67" formatCode="0.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3" formatCode="#,##0"/>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0" formatCode="General"/>
      <fill>
        <patternFill patternType="solid">
          <fgColor theme="4"/>
          <bgColor theme="4"/>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Arial"/>
        <family val="2"/>
        <scheme val="major"/>
      </font>
      <numFmt numFmtId="167" formatCode="0.0"/>
      <alignment horizontal="general" vertical="center"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family val="2"/>
        <scheme val="major"/>
      </font>
      <alignment horizontal="general" vertical="center" textRotation="0" wrapText="0" indent="0" justifyLastLine="0" shrinkToFit="0" readingOrder="0"/>
      <border diagonalUp="0" diagonalDown="0" outline="0">
        <left/>
        <right/>
        <top style="thin">
          <color theme="4"/>
        </top>
        <bottom/>
      </border>
    </dxf>
    <dxf>
      <border outline="0">
        <left style="thin">
          <color theme="4"/>
        </left>
        <right style="thin">
          <color theme="4"/>
        </right>
        <top style="thin">
          <color theme="4"/>
        </top>
        <bottom style="thin">
          <color theme="4"/>
        </bottom>
      </border>
    </dxf>
    <dxf>
      <font>
        <b/>
        <i val="0"/>
        <strike val="0"/>
        <condense val="0"/>
        <extend val="0"/>
        <outline val="0"/>
        <shadow val="0"/>
        <u val="none"/>
        <vertAlign val="baseline"/>
        <sz val="11"/>
        <color theme="0"/>
        <name val="Arial"/>
        <family val="2"/>
        <scheme val="major"/>
      </font>
      <fill>
        <patternFill patternType="solid">
          <fgColor theme="4"/>
          <bgColor theme="4"/>
        </patternFill>
      </fill>
      <alignment horizontal="general" vertical="center" textRotation="0" wrapText="0" indent="0" justifyLastLine="0" shrinkToFit="0" readingOrder="0"/>
    </dxf>
    <dxf>
      <font>
        <b val="0"/>
        <i val="0"/>
        <strike val="0"/>
        <condense val="0"/>
        <extend val="0"/>
        <outline val="0"/>
        <shadow val="0"/>
        <u val="none"/>
        <vertAlign val="baseline"/>
        <sz val="11"/>
        <color auto="1"/>
        <name val="Arial"/>
        <scheme val="major"/>
      </font>
      <numFmt numFmtId="167"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auto="1"/>
        <name val="Arial"/>
        <scheme val="major"/>
      </font>
      <fill>
        <patternFill patternType="none">
          <fgColor indexed="64"/>
          <bgColor auto="1"/>
        </patternFill>
      </fill>
      <alignment horizontal="general" vertical="center" textRotation="0" wrapText="0" indent="0" justifyLastLine="0" shrinkToFit="0" readingOrder="0"/>
    </dxf>
    <dxf>
      <font>
        <strike val="0"/>
        <outline val="0"/>
        <shadow val="0"/>
        <u val="none"/>
        <vertAlign val="baseline"/>
        <sz val="11"/>
        <color auto="1"/>
        <name val="Arial"/>
        <scheme val="major"/>
      </font>
      <fill>
        <patternFill patternType="none">
          <fgColor indexed="64"/>
          <bgColor auto="1"/>
        </patternFill>
      </fill>
    </dxf>
    <dxf>
      <font>
        <b/>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Arial"/>
        <scheme val="major"/>
      </font>
      <numFmt numFmtId="167" formatCode="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scheme val="major"/>
      </font>
      <alignment horizontal="general" vertical="center" textRotation="0" wrapText="0" indent="0" justifyLastLine="0" shrinkToFit="0" readingOrder="0"/>
    </dxf>
    <dxf>
      <font>
        <strike val="0"/>
        <outline val="0"/>
        <shadow val="0"/>
        <u val="none"/>
        <vertAlign val="baseline"/>
        <sz val="11"/>
        <color theme="1"/>
        <name val="Arial"/>
        <scheme val="major"/>
      </font>
    </dxf>
    <dxf>
      <font>
        <b/>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Arial"/>
        <scheme val="major"/>
      </font>
      <numFmt numFmtId="3" formatCode="#,##0"/>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70" formatCode="#,##0.000"/>
      <fill>
        <patternFill patternType="none">
          <fgColor indexed="64"/>
          <bgColor indexed="65"/>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77" formatCode="#,##0.0"/>
      <fill>
        <patternFill patternType="none">
          <fgColor indexed="64"/>
          <bgColor indexed="65"/>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77" formatCode="#,##0.0"/>
      <fill>
        <patternFill patternType="none">
          <fgColor indexed="64"/>
          <bgColor indexed="65"/>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3" formatCode="#,##0"/>
      <fill>
        <patternFill patternType="none">
          <fgColor indexed="64"/>
          <bgColor indexed="65"/>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3" formatCode="#,##0"/>
      <fill>
        <patternFill patternType="none">
          <fgColor indexed="64"/>
          <bgColor indexed="65"/>
        </patternFill>
      </fil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fill>
        <patternFill patternType="none">
          <fgColor indexed="64"/>
          <bgColor indexed="65"/>
        </patternFill>
      </fil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fill>
        <patternFill patternType="none">
          <fgColor indexed="64"/>
          <bgColor indexed="65"/>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0" formatCode="General"/>
      <fill>
        <patternFill patternType="solid">
          <fgColor theme="4"/>
          <bgColor theme="4"/>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Arial"/>
        <family val="2"/>
        <scheme val="major"/>
      </font>
      <numFmt numFmtId="166" formatCode="0.000"/>
      <border diagonalUp="0" diagonalDown="0">
        <left/>
        <right style="thin">
          <color theme="4"/>
        </right>
        <top style="thin">
          <color auto="1"/>
        </top>
        <bottom style="thin">
          <color indexed="64"/>
        </bottom>
        <vertical/>
        <horizontal/>
      </border>
    </dxf>
    <dxf>
      <font>
        <b val="0"/>
        <i val="0"/>
        <strike val="0"/>
        <condense val="0"/>
        <extend val="0"/>
        <outline val="0"/>
        <shadow val="0"/>
        <u val="none"/>
        <vertAlign val="baseline"/>
        <sz val="11"/>
        <color theme="1"/>
        <name val="Arial"/>
        <family val="2"/>
        <scheme val="major"/>
      </font>
      <numFmt numFmtId="166" formatCode="0.000"/>
      <border diagonalUp="0" diagonalDown="0">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major"/>
      </font>
      <numFmt numFmtId="166" formatCode="0.000"/>
      <border diagonalUp="0" diagonalDown="0">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major"/>
      </font>
      <numFmt numFmtId="166" formatCode="0.000"/>
      <border diagonalUp="0" diagonalDown="0">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major"/>
      </font>
      <numFmt numFmtId="166" formatCode="0.000"/>
      <border diagonalUp="0" diagonalDown="0">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major"/>
      </font>
      <numFmt numFmtId="166" formatCode="0.000"/>
      <border diagonalUp="0" diagonalDown="0">
        <left/>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major"/>
      </font>
      <numFmt numFmtId="3" formatCode="#,##0"/>
      <alignment horizontal="general" vertical="bottom" textRotation="0" wrapText="0" indent="0" justifyLastLine="0" shrinkToFit="0" readingOrder="0"/>
      <border diagonalUp="0" diagonalDown="0">
        <left/>
        <right/>
        <top style="thin">
          <color theme="4"/>
        </top>
        <bottom style="thin">
          <color indexed="64"/>
        </bottom>
        <vertical/>
        <horizontal/>
      </border>
    </dxf>
    <dxf>
      <font>
        <b val="0"/>
        <i val="0"/>
        <strike val="0"/>
        <condense val="0"/>
        <extend val="0"/>
        <outline val="0"/>
        <shadow val="0"/>
        <u val="none"/>
        <vertAlign val="baseline"/>
        <sz val="11"/>
        <color auto="1"/>
        <name val="Arial"/>
        <family val="2"/>
        <scheme val="major"/>
      </font>
      <numFmt numFmtId="0" formatCode="General"/>
      <alignment horizontal="general" vertical="bottom" textRotation="0" wrapText="0" indent="0" justifyLastLine="0" shrinkToFit="0" readingOrder="0"/>
      <border diagonalUp="0" diagonalDown="0">
        <left/>
        <right/>
        <top style="thin">
          <color theme="4"/>
        </top>
        <bottom style="thin">
          <color indexed="64"/>
        </bottom>
        <vertical/>
        <horizontal/>
      </border>
    </dxf>
    <dxf>
      <font>
        <b val="0"/>
        <i val="0"/>
        <strike val="0"/>
        <condense val="0"/>
        <extend val="0"/>
        <outline val="0"/>
        <shadow val="0"/>
        <u val="none"/>
        <vertAlign val="baseline"/>
        <sz val="11"/>
        <color auto="1"/>
        <name val="Arial"/>
        <family val="2"/>
        <scheme val="major"/>
      </font>
      <numFmt numFmtId="0" formatCode="General"/>
      <alignment horizontal="general" vertical="bottom" textRotation="0" wrapText="0" indent="0" justifyLastLine="0" shrinkToFit="0" readingOrder="0"/>
      <border diagonalUp="0" diagonalDown="0">
        <left style="thin">
          <color theme="4"/>
        </left>
        <right/>
        <top style="thin">
          <color theme="4"/>
        </top>
        <bottom style="thin">
          <color indexed="64"/>
        </bottom>
        <vertical/>
        <horizontal/>
      </border>
    </dxf>
    <dxf>
      <border outline="0">
        <top style="thin">
          <color theme="4"/>
        </top>
      </border>
    </dxf>
    <dxf>
      <font>
        <b val="0"/>
        <i val="0"/>
        <strike val="0"/>
        <condense val="0"/>
        <extend val="0"/>
        <outline val="0"/>
        <shadow val="0"/>
        <u val="none"/>
        <vertAlign val="baseline"/>
        <sz val="11"/>
        <color theme="1"/>
        <name val="Arial"/>
        <family val="2"/>
        <scheme val="major"/>
      </font>
    </dxf>
    <dxf>
      <font>
        <b/>
        <i val="0"/>
        <strike val="0"/>
        <condense val="0"/>
        <extend val="0"/>
        <outline val="0"/>
        <shadow val="0"/>
        <u val="none"/>
        <vertAlign val="baseline"/>
        <sz val="11"/>
        <color theme="0"/>
        <name val="Arial"/>
        <family val="2"/>
        <scheme val="major"/>
      </font>
      <fill>
        <patternFill patternType="solid">
          <fgColor theme="4"/>
          <bgColor theme="4"/>
        </patternFill>
      </fill>
      <alignment horizontal="left" vertical="bottom" textRotation="0" wrapText="0" indent="0" justifyLastLine="0" shrinkToFit="0" readingOrder="0"/>
    </dxf>
    <dxf>
      <font>
        <b/>
        <i val="0"/>
        <strike val="0"/>
        <condense val="0"/>
        <extend val="0"/>
        <outline val="0"/>
        <shadow val="0"/>
        <u val="none"/>
        <vertAlign val="baseline"/>
        <sz val="11"/>
        <color auto="1"/>
        <name val="Arial"/>
        <family val="2"/>
        <scheme val="major"/>
      </font>
      <numFmt numFmtId="166" formatCode="0.000"/>
      <alignment horizontal="general" vertical="bottom" textRotation="0" wrapText="0" indent="0" justifyLastLine="0" shrinkToFit="0" readingOrder="0"/>
      <border diagonalUp="0" diagonalDown="0">
        <left/>
        <right style="medium">
          <color indexed="64"/>
        </right>
        <top style="thin">
          <color theme="4"/>
        </top>
        <bottom style="medium">
          <color indexed="64"/>
        </bottom>
        <vertical/>
        <horizontal/>
      </border>
    </dxf>
    <dxf>
      <font>
        <b/>
        <i val="0"/>
        <strike val="0"/>
        <condense val="0"/>
        <extend val="0"/>
        <outline val="0"/>
        <shadow val="0"/>
        <u val="none"/>
        <vertAlign val="baseline"/>
        <sz val="11"/>
        <color auto="1"/>
        <name val="Arial"/>
        <family val="2"/>
        <scheme val="major"/>
      </font>
      <numFmt numFmtId="166" formatCode="0.000"/>
      <alignment horizontal="general" vertical="bottom" textRotation="0" wrapText="0" indent="0" justifyLastLine="0" shrinkToFit="0" readingOrder="0"/>
      <border diagonalUp="0" diagonalDown="0">
        <left/>
        <right/>
        <top style="thin">
          <color theme="4"/>
        </top>
        <bottom style="medium">
          <color indexed="64"/>
        </bottom>
        <vertical/>
        <horizontal/>
      </border>
    </dxf>
    <dxf>
      <font>
        <b/>
        <i val="0"/>
        <strike val="0"/>
        <condense val="0"/>
        <extend val="0"/>
        <outline val="0"/>
        <shadow val="0"/>
        <u val="none"/>
        <vertAlign val="baseline"/>
        <sz val="11"/>
        <color auto="1"/>
        <name val="Arial"/>
        <family val="2"/>
        <scheme val="major"/>
      </font>
      <numFmt numFmtId="166" formatCode="0.000"/>
      <alignment horizontal="general" vertical="bottom" textRotation="0" wrapText="0" indent="0" justifyLastLine="0" shrinkToFit="0" readingOrder="0"/>
      <border diagonalUp="0" diagonalDown="0">
        <left style="medium">
          <color indexed="64"/>
        </left>
        <right/>
        <top style="thin">
          <color theme="4"/>
        </top>
        <bottom style="medium">
          <color indexed="64"/>
        </bottom>
        <vertical/>
        <horizontal/>
      </border>
    </dxf>
    <dxf>
      <font>
        <b val="0"/>
        <i val="0"/>
        <strike val="0"/>
        <condense val="0"/>
        <extend val="0"/>
        <outline val="0"/>
        <shadow val="0"/>
        <u val="none"/>
        <vertAlign val="baseline"/>
        <sz val="11"/>
        <color auto="1"/>
        <name val="Arial"/>
        <family val="2"/>
        <scheme val="major"/>
      </font>
      <numFmt numFmtId="2" formatCode="0.00"/>
      <alignment horizontal="general" vertical="bottom" textRotation="0" wrapText="0" indent="0" justifyLastLine="0" shrinkToFit="0" readingOrder="0"/>
      <border diagonalUp="0" diagonalDown="0">
        <left/>
        <right/>
        <top style="thin">
          <color theme="4"/>
        </top>
        <bottom style="thin">
          <color indexed="64"/>
        </bottom>
        <vertical/>
        <horizontal/>
      </border>
    </dxf>
    <dxf>
      <font>
        <b val="0"/>
        <i val="0"/>
        <strike val="0"/>
        <condense val="0"/>
        <extend val="0"/>
        <outline val="0"/>
        <shadow val="0"/>
        <u val="none"/>
        <vertAlign val="baseline"/>
        <sz val="11"/>
        <color auto="1"/>
        <name val="Arial"/>
        <family val="2"/>
        <scheme val="major"/>
      </font>
      <numFmt numFmtId="2" formatCode="0.00"/>
      <alignment horizontal="general" vertical="bottom" textRotation="0" wrapText="0" indent="0" justifyLastLine="0" shrinkToFit="0" readingOrder="0"/>
      <border diagonalUp="0" diagonalDown="0">
        <left/>
        <right/>
        <top style="thin">
          <color theme="4"/>
        </top>
        <bottom style="thin">
          <color indexed="64"/>
        </bottom>
        <vertical/>
        <horizontal/>
      </border>
    </dxf>
    <dxf>
      <font>
        <b val="0"/>
        <i val="0"/>
        <strike val="0"/>
        <condense val="0"/>
        <extend val="0"/>
        <outline val="0"/>
        <shadow val="0"/>
        <u val="none"/>
        <vertAlign val="baseline"/>
        <sz val="11"/>
        <color auto="1"/>
        <name val="Arial"/>
        <family val="2"/>
        <scheme val="major"/>
      </font>
      <numFmt numFmtId="2" formatCode="0.00"/>
      <alignment horizontal="general" vertical="bottom" textRotation="0" wrapText="0" indent="0" justifyLastLine="0" shrinkToFit="0" readingOrder="0"/>
      <border diagonalUp="0" diagonalDown="0">
        <left/>
        <right/>
        <top style="thin">
          <color theme="4"/>
        </top>
        <bottom style="thin">
          <color indexed="64"/>
        </bottom>
        <vertical/>
        <horizontal/>
      </border>
    </dxf>
    <dxf>
      <font>
        <b val="0"/>
        <i val="0"/>
        <strike val="0"/>
        <condense val="0"/>
        <extend val="0"/>
        <outline val="0"/>
        <shadow val="0"/>
        <u val="none"/>
        <vertAlign val="baseline"/>
        <sz val="11"/>
        <color theme="1"/>
        <name val="Arial"/>
        <family val="2"/>
        <scheme val="major"/>
      </font>
      <numFmt numFmtId="166" formatCode="0.000"/>
      <fill>
        <patternFill patternType="none">
          <fgColor indexed="64"/>
          <bgColor indexed="65"/>
        </patternFill>
      </fill>
      <border diagonalUp="0" diagonalDown="0">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major"/>
      </font>
      <numFmt numFmtId="166" formatCode="0.000"/>
      <fill>
        <patternFill patternType="none">
          <fgColor indexed="64"/>
          <bgColor indexed="65"/>
        </patternFill>
      </fill>
      <border diagonalUp="0" diagonalDown="0">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major"/>
      </font>
      <numFmt numFmtId="166" formatCode="0.000"/>
      <fill>
        <patternFill patternType="none">
          <fgColor indexed="64"/>
          <bgColor indexed="65"/>
        </patternFill>
      </fill>
      <border diagonalUp="0" diagonalDown="0">
        <left/>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major"/>
      </font>
      <numFmt numFmtId="3" formatCode="#,##0"/>
      <alignment horizontal="general" vertical="bottom" textRotation="0" wrapText="0" indent="0" justifyLastLine="0" shrinkToFit="0" readingOrder="0"/>
      <border diagonalUp="0" diagonalDown="0">
        <left/>
        <right/>
        <top style="thin">
          <color theme="4"/>
        </top>
        <bottom style="thin">
          <color indexed="64"/>
        </bottom>
        <vertical/>
        <horizontal/>
      </border>
    </dxf>
    <dxf>
      <font>
        <b val="0"/>
        <i val="0"/>
        <strike val="0"/>
        <condense val="0"/>
        <extend val="0"/>
        <outline val="0"/>
        <shadow val="0"/>
        <u val="none"/>
        <vertAlign val="baseline"/>
        <sz val="11"/>
        <color auto="1"/>
        <name val="Arial"/>
        <family val="2"/>
        <scheme val="major"/>
      </font>
      <numFmt numFmtId="0" formatCode="General"/>
      <alignment horizontal="general" vertical="bottom" textRotation="0" wrapText="0" indent="0" justifyLastLine="0" shrinkToFit="0" readingOrder="0"/>
      <border diagonalUp="0" diagonalDown="0">
        <left/>
        <right/>
        <top style="thin">
          <color theme="4"/>
        </top>
        <bottom style="thin">
          <color indexed="64"/>
        </bottom>
        <vertical/>
        <horizontal/>
      </border>
    </dxf>
    <dxf>
      <font>
        <b val="0"/>
        <i val="0"/>
        <strike val="0"/>
        <condense val="0"/>
        <extend val="0"/>
        <outline val="0"/>
        <shadow val="0"/>
        <u val="none"/>
        <vertAlign val="baseline"/>
        <sz val="11"/>
        <color auto="1"/>
        <name val="Arial"/>
        <family val="2"/>
        <scheme val="major"/>
      </font>
      <numFmt numFmtId="0" formatCode="General"/>
      <alignment horizontal="general" vertical="bottom" textRotation="0" wrapText="0" indent="0" justifyLastLine="0" shrinkToFit="0" readingOrder="0"/>
      <border diagonalUp="0" diagonalDown="0">
        <left style="thin">
          <color theme="4"/>
        </left>
        <right/>
        <top style="thin">
          <color theme="4"/>
        </top>
        <bottom style="thin">
          <color indexed="64"/>
        </bottom>
        <vertical/>
        <horizontal/>
      </border>
    </dxf>
    <dxf>
      <border outline="0">
        <top style="thick">
          <color theme="4" tint="0.499984740745262"/>
        </top>
      </border>
    </dxf>
    <dxf>
      <font>
        <b/>
        <i val="0"/>
        <strike val="0"/>
        <condense val="0"/>
        <extend val="0"/>
        <outline val="0"/>
        <shadow val="0"/>
        <u val="none"/>
        <vertAlign val="baseline"/>
        <sz val="11"/>
        <color theme="0"/>
        <name val="Arial"/>
        <family val="2"/>
        <scheme val="major"/>
      </font>
      <fill>
        <patternFill patternType="solid">
          <fgColor theme="4"/>
          <bgColor theme="4"/>
        </patternFill>
      </fill>
      <alignment horizontal="left" vertical="bottom" textRotation="0" wrapText="1" indent="0" justifyLastLine="0" shrinkToFit="0" readingOrder="0"/>
    </dxf>
    <dxf>
      <font>
        <b/>
        <i val="0"/>
        <strike val="0"/>
        <condense val="0"/>
        <extend val="0"/>
        <outline val="0"/>
        <shadow val="0"/>
        <u val="none"/>
        <vertAlign val="baseline"/>
        <sz val="12"/>
        <color auto="1"/>
        <name val="Arial"/>
        <family val="2"/>
        <scheme val="major"/>
      </font>
      <numFmt numFmtId="4" formatCode="#,##0.00"/>
      <border diagonalUp="0" diagonalDown="0">
        <left/>
        <right/>
        <top style="thin">
          <color theme="4"/>
        </top>
        <bottom/>
        <vertical/>
        <horizontal/>
      </border>
    </dxf>
    <dxf>
      <font>
        <b val="0"/>
        <i val="0"/>
        <strike val="0"/>
        <condense val="0"/>
        <extend val="0"/>
        <outline val="0"/>
        <shadow val="0"/>
        <u val="none"/>
        <vertAlign val="baseline"/>
        <sz val="12"/>
        <color auto="1"/>
        <name val="Arial"/>
        <family val="2"/>
        <scheme val="major"/>
      </font>
      <numFmt numFmtId="4" formatCode="#,##0.00"/>
      <border diagonalUp="0" diagonalDown="0">
        <left/>
        <right/>
        <top style="thin">
          <color theme="4"/>
        </top>
        <bottom/>
        <vertical/>
        <horizontal/>
      </border>
    </dxf>
    <dxf>
      <font>
        <b val="0"/>
        <i val="0"/>
        <strike val="0"/>
        <condense val="0"/>
        <extend val="0"/>
        <outline val="0"/>
        <shadow val="0"/>
        <u val="none"/>
        <vertAlign val="baseline"/>
        <sz val="12"/>
        <color auto="1"/>
        <name val="Arial"/>
        <family val="2"/>
        <scheme val="major"/>
      </font>
      <numFmt numFmtId="4" formatCode="#,##0.00"/>
      <border diagonalUp="0" diagonalDown="0">
        <left/>
        <right/>
        <top style="thin">
          <color theme="4"/>
        </top>
        <bottom/>
        <vertical/>
        <horizontal/>
      </border>
    </dxf>
    <dxf>
      <font>
        <b val="0"/>
        <i val="0"/>
        <strike val="0"/>
        <condense val="0"/>
        <extend val="0"/>
        <outline val="0"/>
        <shadow val="0"/>
        <u val="none"/>
        <vertAlign val="baseline"/>
        <sz val="12"/>
        <color auto="1"/>
        <name val="Arial"/>
        <family val="2"/>
        <scheme val="major"/>
      </font>
      <numFmt numFmtId="4" formatCode="#,##0.00"/>
      <border diagonalUp="0" diagonalDown="0">
        <left/>
        <right/>
        <top style="thin">
          <color theme="4"/>
        </top>
        <bottom/>
        <vertical/>
        <horizontal/>
      </border>
    </dxf>
    <dxf>
      <font>
        <b val="0"/>
        <i val="0"/>
        <strike val="0"/>
        <condense val="0"/>
        <extend val="0"/>
        <outline val="0"/>
        <shadow val="0"/>
        <u val="none"/>
        <vertAlign val="baseline"/>
        <sz val="12"/>
        <color auto="1"/>
        <name val="Arial"/>
        <family val="2"/>
        <scheme val="major"/>
      </font>
      <numFmt numFmtId="3" formatCode="#,##0"/>
      <border diagonalUp="0" diagonalDown="0">
        <left/>
        <right/>
        <top style="thin">
          <color theme="4"/>
        </top>
        <bottom/>
        <vertical/>
        <horizontal/>
      </border>
    </dxf>
    <dxf>
      <font>
        <b val="0"/>
        <i val="0"/>
        <strike val="0"/>
        <condense val="0"/>
        <extend val="0"/>
        <outline val="0"/>
        <shadow val="0"/>
        <u val="none"/>
        <vertAlign val="baseline"/>
        <sz val="12"/>
        <color auto="1"/>
        <name val="Arial"/>
        <family val="2"/>
        <scheme val="major"/>
      </font>
      <border diagonalUp="0" diagonalDown="0">
        <left/>
        <right/>
        <top style="thin">
          <color theme="4"/>
        </top>
        <bottom/>
        <vertical/>
        <horizontal/>
      </border>
    </dxf>
    <dxf>
      <font>
        <b val="0"/>
        <i val="0"/>
        <strike val="0"/>
        <condense val="0"/>
        <extend val="0"/>
        <outline val="0"/>
        <shadow val="0"/>
        <u val="none"/>
        <vertAlign val="baseline"/>
        <sz val="12"/>
        <color theme="1"/>
        <name val="Arial"/>
        <family val="2"/>
        <scheme val="major"/>
      </font>
      <border diagonalUp="0" diagonalDown="0">
        <left/>
        <right/>
        <top style="thin">
          <color theme="4"/>
        </top>
        <bottom/>
        <vertical/>
        <horizont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major"/>
      </font>
    </dxf>
    <dxf>
      <border outline="0">
        <bottom style="thin">
          <color indexed="64"/>
        </bottom>
      </border>
    </dxf>
    <dxf>
      <font>
        <b/>
        <i val="0"/>
        <strike val="0"/>
        <condense val="0"/>
        <extend val="0"/>
        <outline val="0"/>
        <shadow val="0"/>
        <u val="none"/>
        <vertAlign val="baseline"/>
        <sz val="12"/>
        <color theme="0"/>
        <name val="Arial"/>
        <family val="2"/>
        <scheme val="major"/>
      </font>
      <fill>
        <patternFill patternType="solid">
          <fgColor theme="4"/>
          <bgColor theme="4"/>
        </patternFill>
      </fill>
      <alignment horizontal="left" vertical="bottom" textRotation="0" wrapText="1" indent="0" justifyLastLine="0" shrinkToFit="0" readingOrder="0"/>
    </dxf>
    <dxf>
      <font>
        <b val="0"/>
        <i val="0"/>
        <strike val="0"/>
        <condense val="0"/>
        <extend val="0"/>
        <outline val="0"/>
        <shadow val="0"/>
        <u val="none"/>
        <vertAlign val="baseline"/>
        <sz val="12"/>
        <color theme="1"/>
        <name val="Arial"/>
        <family val="2"/>
        <scheme val="major"/>
      </font>
      <numFmt numFmtId="165" formatCode="#,##0_ ;[Red]\-#,##0\ "/>
      <border diagonalUp="0" diagonalDown="0">
        <left style="thin">
          <color indexed="64"/>
        </left>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style="thin">
          <color indexed="64"/>
        </left>
        <right style="thin">
          <color indexed="64"/>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style="thin">
          <color indexed="64"/>
        </left>
        <right style="thin">
          <color indexed="64"/>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right style="thin">
          <color indexed="64"/>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style="thin">
          <color indexed="64"/>
        </left>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right style="thin">
          <color indexed="64"/>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style="thin">
          <color indexed="64"/>
        </left>
        <right/>
        <top style="thin">
          <color theme="4"/>
        </top>
        <bottom/>
        <vertical/>
        <horizontal/>
      </border>
    </dxf>
    <dxf>
      <font>
        <b val="0"/>
        <i val="0"/>
        <strike val="0"/>
        <condense val="0"/>
        <extend val="0"/>
        <outline val="0"/>
        <shadow val="0"/>
        <u val="none"/>
        <vertAlign val="baseline"/>
        <sz val="12"/>
        <color theme="1"/>
        <name val="Arial"/>
        <family val="2"/>
        <scheme val="major"/>
      </font>
      <border diagonalUp="0" diagonalDown="0">
        <left/>
        <right/>
        <top style="thin">
          <color theme="4"/>
        </top>
        <bottom/>
        <vertical/>
        <horizontal/>
      </border>
    </dxf>
    <dxf>
      <font>
        <b val="0"/>
        <i val="0"/>
        <strike val="0"/>
        <condense val="0"/>
        <extend val="0"/>
        <outline val="0"/>
        <shadow val="0"/>
        <u val="none"/>
        <vertAlign val="baseline"/>
        <sz val="12"/>
        <color theme="1"/>
        <name val="Arial"/>
        <family val="2"/>
        <scheme val="major"/>
      </font>
      <border diagonalUp="0" diagonalDown="0">
        <left/>
        <right/>
        <top style="thin">
          <color theme="4"/>
        </top>
        <bottom/>
        <vertical/>
        <horizontal/>
      </border>
    </dxf>
    <dxf>
      <border outline="0">
        <top style="thin">
          <color theme="4"/>
        </top>
      </border>
    </dxf>
    <dxf>
      <border outline="0">
        <left style="thin">
          <color theme="4"/>
        </left>
        <right style="thin">
          <color indexed="64"/>
        </right>
      </border>
    </dxf>
    <dxf>
      <border outline="0">
        <bottom style="thin">
          <color indexed="64"/>
        </bottom>
      </border>
    </dxf>
    <dxf>
      <font>
        <b/>
        <i val="0"/>
        <strike val="0"/>
        <condense val="0"/>
        <extend val="0"/>
        <outline val="0"/>
        <shadow val="0"/>
        <u val="none"/>
        <vertAlign val="baseline"/>
        <sz val="12"/>
        <color theme="1"/>
        <name val="Arial"/>
        <scheme val="major"/>
      </font>
      <numFmt numFmtId="3" formatCode="#,##0"/>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2"/>
        <color theme="1"/>
        <name val="Arial"/>
        <scheme val="major"/>
      </font>
      <numFmt numFmtId="3" formatCode="#,##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2"/>
        <color theme="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2"/>
        <color theme="1"/>
        <name val="Arial"/>
        <scheme val="major"/>
      </font>
      <numFmt numFmtId="3" formatCode="#,##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2"/>
        <color theme="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2"/>
        <color theme="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border outline="0">
        <left style="thin">
          <color theme="4"/>
        </left>
        <right style="thin">
          <color theme="4"/>
        </right>
        <top style="thin">
          <color theme="4"/>
        </top>
      </border>
    </dxf>
    <dxf>
      <font>
        <b val="0"/>
        <i val="0"/>
        <strike val="0"/>
        <condense val="0"/>
        <extend val="0"/>
        <outline val="0"/>
        <shadow val="0"/>
        <u val="none"/>
        <vertAlign val="baseline"/>
        <sz val="12"/>
        <color theme="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2"/>
        <color theme="0"/>
        <name val="Arial"/>
        <scheme val="major"/>
      </font>
      <numFmt numFmtId="0" formatCode="General"/>
      <fill>
        <patternFill patternType="solid">
          <fgColor theme="4"/>
          <bgColor theme="4"/>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i val="0"/>
        <strike val="0"/>
        <condense val="0"/>
        <extend val="0"/>
        <outline val="0"/>
        <shadow val="0"/>
        <u val="none"/>
        <vertAlign val="baseline"/>
        <sz val="12"/>
        <color theme="0"/>
        <name val="Arial"/>
        <scheme val="major"/>
      </font>
      <fill>
        <patternFill patternType="none">
          <fgColor indexed="64"/>
          <bgColor indexed="65"/>
        </patternFill>
      </fill>
      <alignment vertical="bottom" textRotation="0" wrapText="1" indent="0" justifyLastLine="0" shrinkToFit="0" readingOrder="0"/>
    </dxf>
    <dxf>
      <font>
        <b val="0"/>
        <i val="0"/>
        <strike val="0"/>
        <condense val="0"/>
        <extend val="0"/>
        <outline val="0"/>
        <shadow val="0"/>
        <u val="none"/>
        <vertAlign val="baseline"/>
        <sz val="12"/>
        <color theme="1"/>
        <name val="Arial"/>
        <scheme val="major"/>
      </font>
      <numFmt numFmtId="2" formatCode="0.0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166" formatCode="0.000"/>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strike val="0"/>
        <outline val="0"/>
        <shadow val="0"/>
        <u val="none"/>
        <vertAlign val="baseline"/>
        <sz val="12"/>
        <name val="Arial"/>
        <scheme val="major"/>
      </font>
    </dxf>
    <dxf>
      <border outline="0">
        <bottom style="thin">
          <color indexed="64"/>
        </bottom>
      </border>
    </dxf>
    <dxf>
      <font>
        <b/>
        <i val="0"/>
        <strike val="0"/>
        <condense val="0"/>
        <extend val="0"/>
        <outline val="0"/>
        <shadow val="0"/>
        <u val="none"/>
        <vertAlign val="baseline"/>
        <sz val="12"/>
        <color theme="0"/>
        <name val="Arial"/>
        <scheme val="major"/>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numFmt numFmtId="0" formatCode="General"/>
    </dxf>
    <dxf>
      <font>
        <b/>
        <i val="0"/>
        <strike val="0"/>
        <condense val="0"/>
        <extend val="0"/>
        <outline val="0"/>
        <shadow val="0"/>
        <u val="none"/>
        <vertAlign val="baseline"/>
        <sz val="12"/>
        <color theme="0"/>
        <name val="Arial"/>
        <scheme val="major"/>
      </font>
      <numFmt numFmtId="0" formatCode="General"/>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family val="2"/>
        <scheme val="major"/>
      </font>
      <numFmt numFmtId="3" formatCode="#,##0"/>
      <alignment horizontal="general"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Arial"/>
        <family val="2"/>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family val="2"/>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family val="2"/>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family val="2"/>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family val="2"/>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family val="2"/>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family val="2"/>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family val="2"/>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family val="2"/>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family val="2"/>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family val="2"/>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family val="2"/>
        <scheme val="major"/>
      </font>
      <numFmt numFmtId="0" formatCode="General"/>
      <alignment horizontal="general" vertical="bottom" textRotation="0" wrapText="0" indent="0" justifyLastLine="0" shrinkToFit="0" readingOrder="0"/>
      <border diagonalUp="0" diagonalDown="0">
        <left style="thin">
          <color theme="8"/>
        </left>
        <right/>
        <top style="thin">
          <color theme="8"/>
        </top>
        <bottom/>
        <vertical/>
        <horizontal/>
      </border>
    </dxf>
    <dxf>
      <font>
        <b val="0"/>
        <i val="0"/>
        <strike val="0"/>
        <condense val="0"/>
        <extend val="0"/>
        <outline val="0"/>
        <shadow val="0"/>
        <u val="none"/>
        <vertAlign val="baseline"/>
        <sz val="12"/>
        <color auto="1"/>
        <name val="Arial"/>
        <family val="2"/>
        <scheme val="major"/>
      </font>
      <numFmt numFmtId="0" formatCode="General"/>
      <alignment horizontal="general" vertical="bottom" textRotation="0" wrapText="0" indent="0" justifyLastLine="0" shrinkToFit="0" readingOrder="0"/>
      <border diagonalUp="0" diagonalDown="0">
        <left/>
        <right/>
        <top style="thin">
          <color theme="8"/>
        </top>
        <bottom/>
        <vertical/>
        <horizontal/>
      </border>
    </dxf>
    <dxf>
      <border outline="0">
        <right style="thin">
          <color theme="8"/>
        </right>
        <top style="thick">
          <color theme="4" tint="0.499984740745262"/>
        </top>
      </border>
    </dxf>
    <dxf>
      <font>
        <b val="0"/>
        <i val="0"/>
        <strike val="0"/>
        <condense val="0"/>
        <extend val="0"/>
        <outline val="0"/>
        <shadow val="0"/>
        <u val="none"/>
        <vertAlign val="baseline"/>
        <sz val="12"/>
        <color auto="1"/>
        <name val="Arial"/>
        <family val="2"/>
        <scheme val="major"/>
      </font>
      <alignment horizontal="general" vertical="bottom" textRotation="0" wrapText="0" indent="0" justifyLastLine="0" shrinkToFit="0" readingOrder="0"/>
    </dxf>
    <dxf>
      <font>
        <b/>
        <i val="0"/>
        <strike val="0"/>
        <condense val="0"/>
        <extend val="0"/>
        <outline val="0"/>
        <shadow val="0"/>
        <u val="none"/>
        <vertAlign val="baseline"/>
        <sz val="12"/>
        <color theme="0"/>
        <name val="Arial"/>
        <family val="2"/>
        <scheme val="major"/>
      </font>
      <numFmt numFmtId="0" formatCode="General"/>
      <fill>
        <patternFill patternType="solid">
          <fgColor theme="8"/>
          <bgColor theme="8"/>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style="thin">
          <color theme="9"/>
        </left>
        <right/>
        <top style="thin">
          <color theme="9"/>
        </top>
        <bottom/>
        <vertical/>
        <horizontal/>
      </border>
    </dxf>
    <dxf>
      <border outline="0">
        <top style="thin">
          <color rgb="FF1B396D"/>
        </top>
        <bottom style="thin">
          <color rgb="FF00959B"/>
        </bottom>
      </border>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8"/>
        </top>
        <bottom/>
      </border>
    </dxf>
    <dxf>
      <border outline="0">
        <left style="thin">
          <color rgb="FF1B396D"/>
        </left>
        <right style="thin">
          <color rgb="FF1B396D"/>
        </right>
        <top style="thin">
          <color rgb="FF1B396D"/>
        </top>
        <bottom style="thin">
          <color rgb="FF1B396D"/>
        </bottom>
      </border>
    </dxf>
    <dxf>
      <font>
        <b val="0"/>
        <i val="0"/>
        <strike val="0"/>
        <condense val="0"/>
        <extend val="0"/>
        <outline val="0"/>
        <shadow val="0"/>
        <u val="none"/>
        <vertAlign val="baseline"/>
        <sz val="12"/>
        <color auto="1"/>
        <name val="Arial"/>
        <scheme val="none"/>
      </font>
      <numFmt numFmtId="0" formatCode="General"/>
      <alignment horizontal="general" vertical="bottom" textRotation="0" wrapText="0" indent="0" justifyLastLine="0" shrinkToFit="0" readingOrder="0"/>
    </dxf>
    <dxf>
      <font>
        <b/>
        <i val="0"/>
        <strike val="0"/>
        <condense val="0"/>
        <extend val="0"/>
        <outline val="0"/>
        <shadow val="0"/>
        <u val="none"/>
        <vertAlign val="baseline"/>
        <sz val="12"/>
        <color theme="0"/>
        <name val="Arial"/>
        <scheme val="major"/>
      </font>
      <numFmt numFmtId="0" formatCode="General"/>
      <fill>
        <patternFill patternType="solid">
          <fgColor theme="8"/>
          <bgColor theme="8"/>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166" formatCode="0.00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166" formatCode="0.00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2" formatCode="0.00"/>
      <fill>
        <patternFill patternType="none">
          <fgColor indexed="64"/>
          <bgColor auto="1"/>
        </patternFill>
      </fill>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2" formatCode="0.00"/>
      <fill>
        <patternFill patternType="none">
          <fgColor indexed="64"/>
          <bgColor auto="1"/>
        </patternFill>
      </fill>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2" formatCode="0.00"/>
      <fill>
        <patternFill patternType="none">
          <fgColor indexed="64"/>
          <bgColor auto="1"/>
        </patternFill>
      </fill>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style="thin">
          <color theme="8"/>
        </left>
        <right/>
        <top style="thin">
          <color theme="8"/>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border outline="0">
        <left style="thin">
          <color rgb="FF006475"/>
        </left>
        <right style="thin">
          <color rgb="FF1B396D"/>
        </right>
      </border>
    </dxf>
    <dxf>
      <font>
        <b val="0"/>
        <i val="0"/>
        <strike val="0"/>
        <condense val="0"/>
        <extend val="0"/>
        <outline val="0"/>
        <shadow val="0"/>
        <u val="none"/>
        <vertAlign val="baseline"/>
        <sz val="12"/>
        <color auto="1"/>
        <name val="Arial"/>
        <scheme val="none"/>
      </font>
      <numFmt numFmtId="0" formatCode="General"/>
      <alignment horizontal="general" vertical="bottom" textRotation="0" wrapText="0" indent="0" justifyLastLine="0" shrinkToFit="0" readingOrder="0"/>
    </dxf>
    <dxf>
      <font>
        <b/>
        <i val="0"/>
        <strike val="0"/>
        <condense val="0"/>
        <extend val="0"/>
        <outline val="0"/>
        <shadow val="0"/>
        <u val="none"/>
        <vertAlign val="baseline"/>
        <sz val="12"/>
        <color theme="0"/>
        <name val="Arial"/>
        <scheme val="major"/>
      </font>
      <numFmt numFmtId="0" formatCode="General"/>
      <fill>
        <patternFill patternType="solid">
          <fgColor indexed="64"/>
          <bgColor theme="8"/>
        </patternFill>
      </fill>
      <alignment horizontal="left" vertical="bottom" textRotation="0" wrapText="1" indent="0" justifyLastLine="0" shrinkToFit="0" readingOrder="0"/>
    </dxf>
    <dxf>
      <font>
        <b/>
        <i val="0"/>
        <strike val="0"/>
        <condense val="0"/>
        <extend val="0"/>
        <outline val="0"/>
        <shadow val="0"/>
        <u val="none"/>
        <vertAlign val="baseline"/>
        <sz val="11"/>
        <color theme="0"/>
        <name val="Arial"/>
        <family val="2"/>
        <scheme val="minor"/>
      </font>
      <numFmt numFmtId="165" formatCode="#,##0_ ;[Red]\-#,##0\ "/>
      <fill>
        <patternFill patternType="solid">
          <fgColor indexed="64"/>
          <bgColor theme="4"/>
        </patternFill>
      </fill>
      <border diagonalUp="0" diagonalDown="0" outline="0">
        <left/>
        <right/>
        <top/>
        <bottom/>
      </border>
    </dxf>
    <dxf>
      <numFmt numFmtId="165" formatCode="#,##0_ ;[Red]\-#,##0\ "/>
    </dxf>
    <dxf>
      <font>
        <b/>
        <i val="0"/>
        <strike val="0"/>
        <condense val="0"/>
        <extend val="0"/>
        <outline val="0"/>
        <shadow val="0"/>
        <u val="none"/>
        <vertAlign val="baseline"/>
        <sz val="11"/>
        <color theme="0"/>
        <name val="Arial"/>
        <family val="2"/>
        <scheme val="minor"/>
      </font>
      <fill>
        <patternFill patternType="solid">
          <fgColor indexed="64"/>
          <bgColor theme="4"/>
        </patternFill>
      </fill>
      <border diagonalUp="0" diagonalDown="0" outline="0">
        <left/>
        <right/>
        <top/>
        <bottom/>
      </border>
    </dxf>
    <dxf>
      <font>
        <b/>
        <i val="0"/>
        <strike val="0"/>
        <condense val="0"/>
        <extend val="0"/>
        <outline val="0"/>
        <shadow val="0"/>
        <u val="none"/>
        <vertAlign val="baseline"/>
        <sz val="11"/>
        <color theme="0"/>
        <name val="Arial"/>
        <family val="2"/>
        <scheme val="minor"/>
      </font>
      <numFmt numFmtId="165" formatCode="#,##0_ ;[Red]\-#,##0\ "/>
      <fill>
        <patternFill patternType="solid">
          <fgColor indexed="64"/>
          <bgColor theme="4"/>
        </patternFill>
      </fill>
      <alignment horizontal="general"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1"/>
        <color theme="0"/>
        <name val="Arial"/>
        <family val="2"/>
        <scheme val="minor"/>
      </font>
      <numFmt numFmtId="165" formatCode="#,##0_ ;[Red]\-#,##0\ "/>
      <fill>
        <patternFill patternType="solid">
          <fgColor indexed="64"/>
          <bgColor theme="4"/>
        </patternFill>
      </fill>
      <alignment horizontal="general"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1"/>
        <color theme="0"/>
        <name val="Arial"/>
        <family val="2"/>
        <scheme val="minor"/>
      </font>
      <numFmt numFmtId="165" formatCode="#,##0_ ;[Red]\-#,##0\ "/>
      <fill>
        <patternFill patternType="solid">
          <fgColor indexed="64"/>
          <bgColor theme="4"/>
        </patternFill>
      </fill>
      <alignment horizontal="general"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1"/>
        <color theme="0"/>
        <name val="Arial"/>
        <family val="2"/>
        <scheme val="minor"/>
      </font>
      <numFmt numFmtId="165" formatCode="#,##0_ ;[Red]\-#,##0\ "/>
      <fill>
        <patternFill patternType="solid">
          <fgColor indexed="64"/>
          <bgColor theme="4"/>
        </patternFill>
      </fill>
      <alignment horizontal="general" vertical="bottom" textRotation="0" wrapText="0" indent="0" justifyLastLine="0" shrinkToFit="0" readingOrder="0"/>
    </dxf>
    <dxf>
      <numFmt numFmtId="3" formatCode="#,##0"/>
    </dxf>
    <dxf>
      <border outline="0">
        <top style="thin">
          <color theme="9"/>
        </top>
      </border>
    </dxf>
    <dxf>
      <font>
        <strike val="0"/>
        <outline val="0"/>
        <shadow val="0"/>
        <u val="none"/>
        <vertAlign val="baseline"/>
        <sz val="11"/>
        <color theme="1"/>
        <name val="Arial"/>
        <family val="2"/>
        <scheme val="minor"/>
      </font>
      <fill>
        <patternFill patternType="none">
          <fgColor indexed="64"/>
          <bgColor auto="1"/>
        </patternFill>
      </fill>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strike val="0"/>
        <outline val="0"/>
        <shadow val="0"/>
        <vertAlign val="baseline"/>
        <sz val="11"/>
        <color theme="1"/>
        <name val="Arial"/>
        <scheme val="major"/>
      </font>
      <alignment vertical="bottom" textRotation="0" wrapText="0" indent="0" justifyLastLine="0" shrinkToFit="0" readingOrder="0"/>
    </dxf>
    <dxf>
      <font>
        <strike val="0"/>
        <outline val="0"/>
        <shadow val="0"/>
        <vertAlign val="baseline"/>
        <sz val="11"/>
        <color theme="1"/>
        <name val="Arial"/>
        <scheme val="major"/>
      </font>
      <alignment vertical="bottom" textRotation="0" wrapText="0" indent="0" justifyLastLine="0" shrinkToFit="0" readingOrder="0"/>
    </dxf>
    <dxf>
      <font>
        <strike val="0"/>
        <outline val="0"/>
        <shadow val="0"/>
        <vertAlign val="baseline"/>
        <sz val="11"/>
        <color theme="1"/>
        <name val="Arial"/>
        <scheme val="major"/>
      </font>
      <alignment vertical="bottom" textRotation="0" wrapText="0" indent="0" justifyLastLine="0" shrinkToFit="0" readingOrder="0"/>
    </dxf>
    <dxf>
      <font>
        <strike val="0"/>
        <outline val="0"/>
        <shadow val="0"/>
        <vertAlign val="baseline"/>
        <sz val="11"/>
        <name val="Arial"/>
        <scheme val="major"/>
      </font>
      <alignment vertical="bottom" textRotation="0" wrapText="0" indent="0" justifyLastLine="0" shrinkToFit="0" readingOrder="0"/>
    </dxf>
    <dxf>
      <font>
        <b/>
        <i val="0"/>
        <strike val="0"/>
        <condense val="0"/>
        <extend val="0"/>
        <outline val="0"/>
        <shadow val="0"/>
        <u val="none"/>
        <vertAlign val="baseline"/>
        <sz val="10"/>
        <color theme="1"/>
        <name val="Arial"/>
        <scheme val="major"/>
      </font>
      <numFmt numFmtId="3" formatCode="#,##0"/>
      <fill>
        <patternFill patternType="solid">
          <fgColor indexed="64"/>
          <bgColor theme="6" tint="0.79998168889431442"/>
        </patternFill>
      </fill>
      <border diagonalUp="0" diagonalDown="0">
        <left/>
        <right style="thin">
          <color theme="9"/>
        </right>
        <top style="thin">
          <color theme="9"/>
        </top>
        <bottom/>
        <vertical/>
        <horizontal/>
      </border>
    </dxf>
    <dxf>
      <font>
        <strike val="0"/>
        <outline val="0"/>
        <shadow val="0"/>
        <u val="none"/>
        <vertAlign val="baseline"/>
        <sz val="11"/>
      </font>
    </dxf>
    <dxf>
      <font>
        <b/>
        <i val="0"/>
        <strike val="0"/>
        <condense val="0"/>
        <extend val="0"/>
        <outline val="0"/>
        <shadow val="0"/>
        <u val="none"/>
        <vertAlign val="baseline"/>
        <sz val="10"/>
        <color rgb="FFFF0000"/>
        <name val="Arial"/>
        <scheme val="major"/>
      </font>
      <numFmt numFmtId="1" formatCode="0"/>
      <fill>
        <patternFill patternType="solid">
          <fgColor indexed="64"/>
          <bgColor theme="6" tint="0.79998168889431442"/>
        </patternFill>
      </fill>
      <border diagonalUp="0" diagonalDown="0">
        <left/>
        <right/>
        <top style="thin">
          <color theme="9"/>
        </top>
        <bottom/>
        <vertical/>
        <horizontal/>
      </border>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i val="0"/>
        <strike val="0"/>
        <condense val="0"/>
        <extend val="0"/>
        <outline val="0"/>
        <shadow val="0"/>
        <u val="none"/>
        <vertAlign val="baseline"/>
        <sz val="11"/>
        <color theme="1"/>
        <name val="Arial"/>
        <family val="2"/>
        <scheme val="major"/>
      </font>
      <numFmt numFmtId="3" formatCode="#,##0"/>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i val="0"/>
        <strike val="0"/>
        <condense val="0"/>
        <extend val="0"/>
        <outline val="0"/>
        <shadow val="0"/>
        <u val="none"/>
        <vertAlign val="baseline"/>
        <sz val="11"/>
        <color theme="1"/>
        <name val="Arial"/>
        <scheme val="major"/>
      </font>
      <numFmt numFmtId="3" formatCode="#,##0"/>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i val="0"/>
        <strike val="0"/>
        <condense val="0"/>
        <extend val="0"/>
        <outline val="0"/>
        <shadow val="0"/>
        <u val="none"/>
        <vertAlign val="baseline"/>
        <sz val="11"/>
        <color theme="1"/>
        <name val="Arial"/>
        <scheme val="major"/>
      </font>
      <numFmt numFmtId="165" formatCode="#,##0_ ;[Red]\-#,##0\ "/>
      <fill>
        <patternFill patternType="solid">
          <fgColor indexed="64"/>
          <bgColor theme="6" tint="0.79998168889431442"/>
        </patternFill>
      </fill>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major"/>
      </font>
      <numFmt numFmtId="3" formatCode="#,##0"/>
    </dxf>
    <dxf>
      <font>
        <b val="0"/>
        <i val="0"/>
        <strike val="0"/>
        <condense val="0"/>
        <extend val="0"/>
        <outline val="0"/>
        <shadow val="0"/>
        <u val="none"/>
        <vertAlign val="baseline"/>
        <sz val="11"/>
        <color auto="1"/>
        <name val="Arial"/>
        <scheme val="major"/>
      </font>
      <numFmt numFmtId="168" formatCode="0.000\ %"/>
      <fill>
        <patternFill patternType="solid">
          <fgColor indexed="64"/>
          <bgColor theme="3"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1"/>
        <color rgb="FFFF0000"/>
        <name val="Arial"/>
        <family val="2"/>
        <scheme val="major"/>
      </font>
      <numFmt numFmtId="3" formatCode="#,##0"/>
      <fill>
        <patternFill>
          <bgColor rgb="FFFFFF00"/>
        </patternFill>
      </fill>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major"/>
      </font>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i val="0"/>
        <strike val="0"/>
        <condense val="0"/>
        <extend val="0"/>
        <outline val="0"/>
        <shadow val="0"/>
        <u val="none"/>
        <vertAlign val="baseline"/>
        <sz val="11"/>
        <color auto="1"/>
        <name val="Arial"/>
        <scheme val="major"/>
      </font>
      <numFmt numFmtId="172" formatCode="_-* #,##0_-;\-* #,##0_-;_-* &quot;-&quot;??_-;_-@_-"/>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style="thin">
          <color theme="4"/>
        </left>
        <right/>
        <top style="thin">
          <color theme="4"/>
        </top>
        <bottom/>
      </border>
    </dxf>
    <dxf>
      <font>
        <b/>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val="0"/>
        <i val="0"/>
        <strike val="0"/>
        <condense val="0"/>
        <extend val="0"/>
        <outline val="0"/>
        <shadow val="0"/>
        <u val="none"/>
        <vertAlign val="baseline"/>
        <sz val="11"/>
        <color theme="1"/>
        <name val="Arial"/>
        <scheme val="major"/>
      </font>
    </dxf>
    <dxf>
      <font>
        <strike val="0"/>
        <outline val="0"/>
        <shadow val="0"/>
        <u val="none"/>
        <vertAlign val="baseline"/>
        <sz val="11"/>
      </font>
    </dxf>
  </dxfs>
  <tableStyles count="1" defaultTableStyle="TableStyleMedium2" defaultPivotStyle="PivotStyleLight16">
    <tableStyle name="Table Style 1" pivot="0" count="0" xr9:uid="{D4465EB1-98D3-4A32-AF60-0D5A43E719A3}"/>
  </tableStyles>
  <colors>
    <mruColors>
      <color rgb="FF83918F"/>
      <color rgb="FF9DA8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99C5065-1A22-48EA-97F9-BF731F16EAAB}" name="Yhteenveto_vuoden_2026_rahoituksesta" displayName="Yhteenveto_vuoden_2026_rahoituksesta" ref="A6:J29" headerRowCount="0" totalsRowShown="0" headerRowDxfId="220" dataDxfId="219">
  <tableColumns count="10">
    <tableColumn id="1" xr3:uid="{8ED03185-E587-415D-AEDC-27B6C717266A}" name="Yhteenveto hyvinvointialuiden rahoituksesta vuodelle 2024 (vuoden 2023 tasossa)" headerRowDxfId="218" dataDxfId="217" headerRowCellStyle="Normaali 2" dataCellStyle="Normaali 2"/>
    <tableColumn id="2" xr3:uid="{B635AAD8-001E-4AD7-96E2-B3A14EBAAF2E}" name=" " headerRowDxfId="216" dataDxfId="215" headerRowCellStyle="Normaali 2"/>
    <tableColumn id="3" xr3:uid="{26BFC506-C1D1-47AE-8771-733DF63F38C9}" name="Sarake1" headerRowDxfId="214" dataDxfId="213" headerRowCellStyle="Normaali 2"/>
    <tableColumn id="4" xr3:uid="{0E00FD68-41C6-4675-B1D3-F278E62CF99D}" name="Sarake3" headerRowDxfId="212" dataDxfId="211" headerRowCellStyle="Normaali 2"/>
    <tableColumn id="5" xr3:uid="{751C98AD-6B78-436D-BA48-557432624FD7}" name="Sarake4" headerRowDxfId="210" dataDxfId="209" headerRowCellStyle="Normaali 2"/>
    <tableColumn id="6" xr3:uid="{7C99F13B-5E8F-475D-A591-1B595B1BFD09}" name="Sarake5" headerRowDxfId="208" dataDxfId="207" headerRowCellStyle="Normaali 2"/>
    <tableColumn id="8" xr3:uid="{233733FE-A404-4B4F-90D1-B3D71F0EDAD5}" name="Sarake7" headerRowDxfId="206" dataDxfId="205" headerRowCellStyle="Normaali 2"/>
    <tableColumn id="7" xr3:uid="{426755A7-F26D-422E-8219-8DF6379866EE}" name="Sarake6" headerRowDxfId="204" dataDxfId="203" headerRowCellStyle="Normaali 2"/>
    <tableColumn id="9" xr3:uid="{55B9F9D2-E196-4529-93B5-2C734B9E6B73}" name="Sarake8" headerRowDxfId="202" dataDxfId="201" headerRowCellStyle="Normaali 2"/>
    <tableColumn id="10" xr3:uid="{ED88806D-DC2B-414D-B6E7-AE380D65951D}" name="Sarake2" headerRowDxfId="200" dataDxfId="199"/>
  </tableColumns>
  <tableStyleInfo name="TableStyleLight14"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9CA8217-8E9C-4A43-9860-01667DD9A7FA}" name="Sote_painot" displayName="Sote_painot" ref="A19:N23" totalsRowShown="0" headerRowDxfId="144" headerRowCellStyle="Normaali 2">
  <tableColumns count="14">
    <tableColumn id="1" xr3:uid="{EC84855B-E0E9-4D41-B419-C8538FEA6D43}" name="Kriteeri"/>
    <tableColumn id="2" xr3:uid="{EDC2ADEE-B66B-47B0-946C-7A94CA36CD63}" name="Asukasperusteisuus"/>
    <tableColumn id="3" xr3:uid="{4B7EFB30-D78E-4C3E-9A79-8670AAFC1A74}" name="Sote-palvelutarve yhteensä"/>
    <tableColumn id="4" xr3:uid="{17D947E1-0CA3-4CAB-8801-18512162C65F}" name="Terveydenhuollon palvelutarve"/>
    <tableColumn id="5" xr3:uid="{91741629-0264-47FF-BC3F-A25CF32A4899}" name="Vanhustenhuollon palvelutarve"/>
    <tableColumn id="6" xr3:uid="{450691C6-BB51-44F8-9948-5DE098AC98D6}" name="Sosiaalihuollon palvelutarve"/>
    <tableColumn id="7" xr3:uid="{78B16548-F36E-43B6-9C20-EAB26AA48A5A}" name="Vieraskielisyys"/>
    <tableColumn id="8" xr3:uid="{BDEAAA8E-8A69-44A2-8AF8-EB7D83E23DCD}" name="Kaksikielisyys"/>
    <tableColumn id="9" xr3:uid="{2B6556D7-50FB-4138-8835-6A508444A11D}" name="Asukastiheys"/>
    <tableColumn id="10" xr3:uid="{9FE80EB9-D44A-4D83-9BD1-7BA2A48F6D78}" name="Saaristoisuus"/>
    <tableColumn id="11" xr3:uid="{F53FC133-0042-421D-BD28-8FF10779ED6E}" name="Hyte-kriteeri"/>
    <tableColumn id="12" xr3:uid="{B404855C-A927-4555-9322-3BADD3301DD9}" name="Saamenkielisyys"/>
    <tableColumn id="13" xr3:uid="{C814D19E-F5B0-4077-BAE3-56DC402FD143}" name="Yo-lisä"/>
    <tableColumn id="14" xr3:uid="{4580EDDA-237C-4021-9E8D-385DE18623BA}" name="Yhteensä">
      <calculatedColumnFormula>B20+SUM(D20:M20)</calculatedColumnFormula>
    </tableColumn>
  </tableColumns>
  <tableStyleInfo name="Table Style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B85F2191-F591-4CDE-9151-01B418E1322C}" name="Sote_laskennallinen_rahoitus_euroa" displayName="Sote_laskennallinen_rahoitus_euroa" ref="A53:N77" totalsRowShown="0" dataDxfId="143" tableBorderDxfId="142" dataCellStyle="Normaali 2">
  <tableColumns count="14">
    <tableColumn id="1" xr3:uid="{7C95F050-0176-4D59-B9EE-5222C118D851}" name="Hyvinvointialuekoodi" dataDxfId="141" dataCellStyle="Normaali 2"/>
    <tableColumn id="2" xr3:uid="{B119E5EB-68B9-47EE-8CE6-C412498B7A18}" name="Hyvinvointialue" dataDxfId="140" dataCellStyle="Normaali 2"/>
    <tableColumn id="3" xr3:uid="{E2B518D5-DD01-4D69-9E36-5271E59E38F7}" name="Asukasperusteisuus" dataDxfId="139" dataCellStyle="Normaali 2"/>
    <tableColumn id="4" xr3:uid="{F0469B55-E833-41B5-B820-638D390BCBAB}" name="Terveydenhuollon palvelutarve" dataDxfId="138" dataCellStyle="Normaali 2"/>
    <tableColumn id="5" xr3:uid="{7D038E3E-CE66-423E-83BD-DF186B1B8EDF}" name="Vanhustenhuollon palvelutarve" dataDxfId="137" dataCellStyle="Normaali 2"/>
    <tableColumn id="6" xr3:uid="{66D45B4C-5132-4323-BA5C-81D0260EAA60}" name="Sosiaalihuollon palvelutarve" dataDxfId="136" dataCellStyle="Normaali 2"/>
    <tableColumn id="7" xr3:uid="{26DBB451-0882-4B15-AFA3-8BEEA57B6CB6}" name="Vieraskielisyys" dataDxfId="135" dataCellStyle="Normaali 2"/>
    <tableColumn id="8" xr3:uid="{3D87F0DE-839A-4349-9239-31EAE7596E3E}" name="Kaksikielisyys" dataDxfId="134" dataCellStyle="Normaali 2"/>
    <tableColumn id="9" xr3:uid="{79344645-6152-493A-8C05-C5A8E69A05A2}" name="Asukastiheys" dataDxfId="133" dataCellStyle="Normaali 2"/>
    <tableColumn id="10" xr3:uid="{C146059B-B9AB-4F10-82E8-205035C3BBBF}" name="Saaristoisuus" dataDxfId="132" dataCellStyle="Normaali 2"/>
    <tableColumn id="11" xr3:uid="{DFC22DD8-50DC-4286-BF50-F6336A21D45C}" name="Hyte-kriteeri" dataDxfId="131" dataCellStyle="Normaali 2"/>
    <tableColumn id="12" xr3:uid="{588CAE44-CD9B-4B24-B321-07EF5B5C24E0}" name="Saamenkielisyys" dataDxfId="130" dataCellStyle="Normaali 2"/>
    <tableColumn id="13" xr3:uid="{C933B8AB-8A90-46C7-AB5B-D94B78D16E09}" name="Yo-lisä" dataDxfId="129" dataCellStyle="Normaali 2"/>
    <tableColumn id="14" xr3:uid="{2363968D-BDB9-4CAD-AB33-24230D94AA00}" name="Yhteensä, euroa" dataDxfId="128" dataCellStyle="Normaali 2">
      <calculatedColumnFormula>SUM(C54:M54)</calculatedColumnFormula>
    </tableColumn>
  </tableColumns>
  <tableStyleInfo name="TableStyleLight13"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Pela_osuudet" displayName="Pela_osuudet" ref="A15:E19" totalsRowShown="0" headerRowDxfId="127" dataDxfId="126" headerRowCellStyle="Normaali 2">
  <tableColumns count="5">
    <tableColumn id="1" xr3:uid="{00000000-0010-0000-0900-000001000000}" name="Kriteeri" dataDxfId="125"/>
    <tableColumn id="2" xr3:uid="{00000000-0010-0000-0900-000002000000}" name="Asukasperusteisuus" dataDxfId="124"/>
    <tableColumn id="3" xr3:uid="{00000000-0010-0000-0900-000003000000}" name="Asukastiheys" dataDxfId="123"/>
    <tableColumn id="4" xr3:uid="{00000000-0010-0000-0900-000004000000}" name="Riskitekijät" dataDxfId="122"/>
    <tableColumn id="5" xr3:uid="{00000000-0010-0000-0900-000005000000}" name="Yhteensä" dataDxfId="121"/>
  </tableColumns>
  <tableStyleInfo name="TableStyleLight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Pela_laskennallinen_määräytymistekijät" displayName="Pela_laskennallinen_määräytymistekijät" ref="A22:E45" totalsRowShown="0" headerRowDxfId="120" dataDxfId="118" headerRowBorderDxfId="119" headerRowCellStyle="Normaali 2">
  <tableColumns count="5">
    <tableColumn id="1" xr3:uid="{00000000-0010-0000-0A00-000001000000}" name="Hyvinvointialuekoodi" dataDxfId="117" dataCellStyle="Normaali 2"/>
    <tableColumn id="2" xr3:uid="{00000000-0010-0000-0A00-000002000000}" name="Hyvinvointialue" dataDxfId="116" dataCellStyle="Normaali 2"/>
    <tableColumn id="3" xr3:uid="{00000000-0010-0000-0A00-000003000000}" name="Asukasluku" dataDxfId="115" dataCellStyle="Normaali 2">
      <calculatedColumnFormula>Määräytymistekijät!C8</calculatedColumnFormula>
    </tableColumn>
    <tableColumn id="4" xr3:uid="{00000000-0010-0000-0A00-000004000000}" name="Asukastiheyskerroin" dataDxfId="114" dataCellStyle="Normaali 2">
      <calculatedColumnFormula>Määräytymistekijät!F35</calculatedColumnFormula>
    </tableColumn>
    <tableColumn id="5" xr3:uid="{00000000-0010-0000-0A00-000005000000}" name="Riskikerroin" dataDxfId="113" dataCellStyle="Normaali 2">
      <calculatedColumnFormula>Määräytymistekijät!L35</calculatedColumnFormula>
    </tableColumn>
  </tableColumns>
  <tableStyleInfo name="TableStyleLight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Pela_laskennallinen_rahoitus_per_asukas" displayName="Pela_laskennallinen_rahoitus_per_asukas" ref="A75:F99" totalsRowShown="0" headerRowDxfId="112" dataDxfId="111" headerRowCellStyle="Normaali 2" dataCellStyle="Normaali 2">
  <tableColumns count="6">
    <tableColumn id="1" xr3:uid="{00000000-0010-0000-0B00-000001000000}" name="Hyvinvointialuekoodi" dataDxfId="110" dataCellStyle="Normaali 2"/>
    <tableColumn id="2" xr3:uid="{00000000-0010-0000-0B00-000002000000}" name="Hyvinvointialue" dataDxfId="109" dataCellStyle="Normaali 2"/>
    <tableColumn id="3" xr3:uid="{00000000-0010-0000-0B00-000003000000}" name="Asukasperusteisuus" dataDxfId="108" dataCellStyle="Normaali 2"/>
    <tableColumn id="4" xr3:uid="{00000000-0010-0000-0B00-000004000000}" name="Asukastiheys" dataDxfId="107" dataCellStyle="Normaali 2"/>
    <tableColumn id="5" xr3:uid="{00000000-0010-0000-0B00-000005000000}" name="Riskitekijät" dataDxfId="106" dataCellStyle="Normaali 2"/>
    <tableColumn id="6" xr3:uid="{00000000-0010-0000-0B00-000006000000}" name="Yhteensä, e/as." dataDxfId="105" dataCellStyle="Normaali 2"/>
  </tableColumns>
  <tableStyleInfo name="TableStyleLight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Pela_laskennallinen_rahoitus_euroa" displayName="Pela_laskennallinen_rahoitus_euroa" ref="A48:F72" totalsRowShown="0" headerRowDxfId="104" dataDxfId="103" tableBorderDxfId="102" headerRowCellStyle="Normaali 2" dataCellStyle="Normaali 2">
  <autoFilter ref="A48:F72" xr:uid="{00000000-0009-0000-0100-000010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D00-000001000000}" name="Hyvinvointialuekoodi" dataDxfId="101" dataCellStyle="Normaali 2"/>
    <tableColumn id="2" xr3:uid="{00000000-0010-0000-0D00-000002000000}" name="Hyvinvointialue" dataDxfId="100" dataCellStyle="Normaali 2"/>
    <tableColumn id="3" xr3:uid="{00000000-0010-0000-0D00-000003000000}" name="Asukasperusteisuus" dataDxfId="99" dataCellStyle="Normaali 2"/>
    <tableColumn id="4" xr3:uid="{00000000-0010-0000-0D00-000004000000}" name="Asukastiheys" dataDxfId="98" dataCellStyle="Normaali 2"/>
    <tableColumn id="5" xr3:uid="{00000000-0010-0000-0D00-000005000000}" name="Riskitekijät" dataDxfId="97" dataCellStyle="Normaali 2"/>
    <tableColumn id="6" xr3:uid="{00000000-0010-0000-0D00-000006000000}" name="Yhteensä, euroa" dataDxfId="96" dataCellStyle="Normaali 2">
      <calculatedColumnFormula>SUM(C49:E49)</calculatedColumnFormula>
    </tableColumn>
  </tableColumns>
  <tableStyleInfo name="TableStyleLight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D63997C-63C6-4098-8D7E-A6FD45D10CE1}" name="Pela_laskennallinen_rahoitus_yhteensä" displayName="Pela_laskennallinen_rahoitus_yhteensä" ref="A6:B12" totalsRowShown="0">
  <tableColumns count="2">
    <tableColumn id="1" xr3:uid="{353836A5-B0FE-473C-A47D-8065CEAFAC7B}" name="Laskennallinen pela-rahoitus"/>
    <tableColumn id="2" xr3:uid="{0A7CBFB8-A00F-4332-9197-A319FEC2C5A8}" name="euroa"/>
  </tableColumns>
  <tableStyleInfo name="TableStyleLight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22EE805-725E-4297-942D-102BEF1041AC}" name="Hyte_tiedot" displayName="Hyte_tiedot" ref="A33:P55" totalsRowShown="0" headerRowBorderDxfId="95" tableBorderDxfId="94" totalsRowBorderDxfId="93">
  <autoFilter ref="A33:P55" xr:uid="{222EE805-725E-4297-942D-102BEF1041A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F1D8DCF4-FF89-47D6-B894-448E20C0E6A3}" name="Hyvinvointialuekoodi" dataDxfId="92" dataCellStyle="Normaali 13"/>
    <tableColumn id="2" xr3:uid="{AC6ADF28-7F57-48E0-8927-AAE415AF7B80}" name="Hyvinvointialue" dataDxfId="91" dataCellStyle="Normaali 13"/>
    <tableColumn id="3" xr3:uid="{40A987DC-FDF1-41E2-98D6-450764792BBF}" name="Tuentarve 4" dataDxfId="90" dataCellStyle="Normaali 13"/>
    <tableColumn id="4" xr3:uid="{E1BA4E7E-856C-4E44-B2D8-3974C22E1B14}" name="Tuentarve 8" dataDxfId="89" dataCellStyle="Normaali 13"/>
    <tableColumn id="5" xr3:uid="{454E3ED1-13E0-4A75-AF06-3C4641671C38}" name="Diabetes" dataDxfId="88" dataCellStyle="Normaali 13"/>
    <tableColumn id="6" xr3:uid="{D9559195-019D-44B6-A9F1-FBDEE5C2563D}" name="Mini-interventio" dataDxfId="87" dataCellStyle="Normaali 13"/>
    <tableColumn id="7" xr3:uid="{FC157637-57BB-4974-A3D9-85E27B5AFBD1}" name="Rokotuskattavuus" dataDxfId="86" dataCellStyle="Normaali 13"/>
    <tableColumn id="8" xr3:uid="{79DA5E80-9F81-42F1-89CE-0F1788254F6E}" name="Työttömien terveystarkastukset" dataDxfId="85" dataCellStyle="Normaali 13"/>
    <tableColumn id="9" xr3:uid="{7307BF8E-D979-4DB7-91F2-3294B7E3FF96}" name="Vammat ja myrkytykset" dataDxfId="84" dataCellStyle="Normaali 13"/>
    <tableColumn id="10" xr3:uid="{86F722EC-554B-43BE-8CE9-3923028E09E2}" name="Lonkkamurtumat" dataDxfId="83" dataCellStyle="Normaali 13"/>
    <tableColumn id="11" xr3:uid="{32B401E5-F72A-4BE5-8B0A-8EA7C522C471}" name="NEET" dataDxfId="82" dataCellStyle="Normaali 13"/>
    <tableColumn id="12" xr3:uid="{5805A6CF-81FA-4BC2-A942-B84F8F2639D8}" name="Toimeentulotuki" dataDxfId="81" dataCellStyle="Normaali 13"/>
    <tableColumn id="13" xr3:uid="{08A30BF3-B3EF-4F4C-9660-920390B09708}" name="Työkyvyttömyys" dataDxfId="80" dataCellStyle="Normaali 13"/>
    <tableColumn id="14" xr3:uid="{3294EA20-62D1-471A-9732-8F2C01FEDC44}" name="Prosessi-indikaattorien keskiarvo" dataDxfId="79" dataCellStyle="Normaali 13"/>
    <tableColumn id="15" xr3:uid="{8C5F0FF6-D1DD-42A5-9575-0441DC6EDB6B}" name="Tulosindikaattorien keskiarvo" dataDxfId="78" dataCellStyle="Normaali 13"/>
    <tableColumn id="16" xr3:uid="{7F337959-DBC5-4C0C-8DA5-452A621EF0F8}" name="Indikaattorien keskiarvo" dataDxfId="77" dataCellStyle="Normaali 13"/>
  </tableColumns>
  <tableStyleInfo name="Table Style 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334E3E6C-4006-4C63-810C-F6FC8532874F}" name="Hyte_kerroin" displayName="Hyte_kerroin" ref="A6:G30" totalsRowShown="0" headerRowDxfId="76" dataDxfId="74" headerRowBorderDxfId="75" tableBorderDxfId="73" headerRowCellStyle="Normaali 2" dataCellStyle="Normaali 2">
  <tableColumns count="7">
    <tableColumn id="1" xr3:uid="{24D4352D-D2A6-47E2-815E-24800C49EB0E}" name="Hyvinvointialuekoodi" dataDxfId="72" dataCellStyle="Normaali 13"/>
    <tableColumn id="2" xr3:uid="{4D20F99E-15A4-44F3-94B0-E5E3C3630B7C}" name="Hyvinvointialue" dataDxfId="71" dataCellStyle="Normaali 2"/>
    <tableColumn id="3" xr3:uid="{5884B159-A7D8-4F31-AFF3-23F9C6FDBD04}" name="Asukasluku 2024" dataDxfId="70" dataCellStyle="Normaali 2"/>
    <tableColumn id="4" xr3:uid="{8D391C93-B229-46A5-8C29-29BA909C312E}" name="Prosessi-indikaattorien keskiarvo" dataDxfId="69" dataCellStyle="Normaali 2"/>
    <tableColumn id="5" xr3:uid="{399C4BBB-DDAB-40E4-8E6F-928D8D00E0F0}" name="Tulosindikaattorien keskiarvo" dataDxfId="68" dataCellStyle="Normaali 2"/>
    <tableColumn id="6" xr3:uid="{27F3780E-8B65-4573-994C-B408AB79C6B0}" name="Prosessi- ja tulosindikaattorien keskiarvo" dataDxfId="67" dataCellStyle="Normaali 2"/>
    <tableColumn id="7" xr3:uid="{777EE889-AE43-4CCF-8A24-98D72B21C5A6}" name="Rahoituslaskelmassa käytettävä hyte-kerroin" dataDxfId="66" dataCellStyle="Normaali 2"/>
  </tableColumns>
  <tableStyleInfo name="Table Style 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67B9E68-4A40-4156-84E0-A0CACF6DBD88}" name="Tarvekertoimet" displayName="Tarvekertoimet" ref="A7:L30" totalsRowShown="0" headerRowDxfId="65" tableBorderDxfId="64">
  <tableColumns count="12">
    <tableColumn id="1" xr3:uid="{9F94AF6D-ED1E-43CC-8C87-E3767B1970CB}" name="Hyvinvointialuekoodi" dataDxfId="63" dataCellStyle="Normaali 2"/>
    <tableColumn id="2" xr3:uid="{31C01BDB-59E2-4582-A479-8A4CE0514D1C}" name="Hyvinvointialue" dataDxfId="62" dataCellStyle="Normaali 2"/>
    <tableColumn id="3" xr3:uid="{287B9178-E25C-4367-84B0-B28C074684DB}" name="Asukasluku 2024" dataDxfId="61" dataCellStyle="Normaali 2"/>
    <tableColumn id="4" xr3:uid="{6AFD16F4-C147-4B08-BCCF-0F0F88C9A3F1}" name="TH:n tarvekerroin: Keskiarvo 2022–2023" dataDxfId="60"/>
    <tableColumn id="5" xr3:uid="{8914F851-9C14-4B47-94D2-A82970FF60A4}" name="VH:n tarvekerroin: Keskiarvo 2022–2023" dataDxfId="59"/>
    <tableColumn id="6" xr3:uid="{DAEA885F-743A-4C2B-B24F-2D984ADA29FC}" name="SH:n tarvekerroin: Keskiarvo 2022–2023" dataDxfId="58"/>
    <tableColumn id="7" xr3:uid="{D08B2EC3-4246-463A-951D-E765BD0A9843}" name="TH:n tarvekerroin painotettu asukasluvulla" dataDxfId="57" dataCellStyle="Normaali 11"/>
    <tableColumn id="8" xr3:uid="{B59ABF1E-99F2-47F3-8B46-7CB6A5D55F7C}" name="VH:n tarvekerroin painotettu  asukasluvulla" dataDxfId="56" dataCellStyle="Normaali 11"/>
    <tableColumn id="9" xr3:uid="{0D7D22AF-1138-49B2-8830-E25A8EC50801}" name="SH:n tarvekerroin painotettu asukasluvulla" dataDxfId="55" dataCellStyle="Normaali 11"/>
    <tableColumn id="10" xr3:uid="{5EF577AD-B224-4591-AF8F-BAF14C95EA49}" name="Rahoituslaskelmassa käytettävä TH:n palvelutarvekerroin" dataDxfId="54" dataCellStyle="Normaali 11"/>
    <tableColumn id="11" xr3:uid="{259368C9-4E41-4380-88C9-6649D6291EC5}" name="Rahoituslaskelmassa käytettävä VH:n palvelutarvekerroin" dataDxfId="53" dataCellStyle="Normaali 11"/>
    <tableColumn id="12" xr3:uid="{2A38237A-07F4-498F-A0C8-049749EB649E}" name="Rahoituslaskelmassa käytettävä SH:n palvelutarvekerroin" dataDxfId="52" dataCellStyle="Normaali 11"/>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Vuoden_2026_rahoituksen_muodostuminen" displayName="Vuoden_2026_rahoituksen_muodostuminen" ref="A7:B28" totalsRowShown="0" headerRowDxfId="198" dataDxfId="197">
  <tableColumns count="2">
    <tableColumn id="1" xr3:uid="{00000000-0010-0000-0100-000001000000}" name=" " dataDxfId="196"/>
    <tableColumn id="2" xr3:uid="{00000000-0010-0000-0100-000002000000}" name="euroa" dataDxfId="195"/>
  </tableColumns>
  <tableStyleInfo name="TableStyleLight9"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E334493-2A10-44FC-9724-0A20C6EC149B}" name="Tarvekertoimet_2022_ja_2023" displayName="Tarvekertoimet_2022_ja_2023" ref="A33:I56" totalsRowShown="0" headerRowDxfId="51" dataDxfId="50" tableBorderDxfId="49">
  <tableColumns count="9">
    <tableColumn id="1" xr3:uid="{724D2A7B-3F36-40A1-88C7-A9FA273705CB}" name="Hyvinvointialuekoodi" dataDxfId="48" dataCellStyle="Normaali 2"/>
    <tableColumn id="2" xr3:uid="{0610D396-4BAA-4FE8-8023-7A771C041F7D}" name="Hyvinvointialue" dataDxfId="47" dataCellStyle="Normaali 2"/>
    <tableColumn id="3" xr3:uid="{408232D8-139B-4AEE-83D6-786D2E65CFBD}" name="Asukasluku 2024" dataDxfId="46" dataCellStyle="Normaali 2"/>
    <tableColumn id="4" xr3:uid="{1B548E52-18E6-4A1D-A0CE-271627889DC2}" name="Vuoden 2025 rahoituksessa käytetty TH:n tarvekerroin 2022" dataDxfId="45"/>
    <tableColumn id="5" xr3:uid="{6E015E65-0295-4592-8285-405758507B4F}" name="Vuoden 2025 rahoituksessa käytetty VH:n tarvekerroin 20222" dataDxfId="44"/>
    <tableColumn id="6" xr3:uid="{3214A69D-BD51-48AF-AFBC-02BA9E375AB2}" name="Vuoden 2025 rahoituksessa käytetty SH:n tarvekerroin 20222" dataDxfId="43"/>
    <tableColumn id="7" xr3:uid="{A29DA278-D524-4CBA-A40A-F0A84081118A}" name="TH:n tarvekerroin 2023" dataDxfId="42"/>
    <tableColumn id="8" xr3:uid="{3AE9D435-209C-4B94-8A92-DC8E32E3D37A}" name="VH:n tarvekerroin 2023" dataDxfId="41"/>
    <tableColumn id="9" xr3:uid="{E1253136-33F1-4C44-98DD-4662936DF2D7}" name="SH:n tarvekerroin 2023" dataDxfId="40"/>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E000000}" name="Pela_määräytymistekijät" displayName="Pela_määräytymistekijät" ref="A34:L57" totalsRowShown="0" headerRowDxfId="14" dataDxfId="13" tableBorderDxfId="12" headerRowCellStyle="Normaali 2" dataCellStyle="Normaali 2">
  <autoFilter ref="A34:L57"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E00-000001000000}" name="Hyvinvointialuekoodi" dataDxfId="11" dataCellStyle="Normaali 2"/>
    <tableColumn id="2" xr3:uid="{00000000-0010-0000-0E00-000002000000}" name="Hyvinvointialue" dataDxfId="10" dataCellStyle="Normaali 2"/>
    <tableColumn id="3" xr3:uid="{00000000-0010-0000-0E00-000003000000}" name="Asukasluku 2024" dataDxfId="9" dataCellStyle="Normaali 2">
      <calculatedColumnFormula>C8</calculatedColumnFormula>
    </tableColumn>
    <tableColumn id="4" xr3:uid="{00000000-0010-0000-0E00-000004000000}" name="Kokonaispinta-ala, km2" dataDxfId="8" dataCellStyle="Normaali 2"/>
    <tableColumn id="5" xr3:uid="{00000000-0010-0000-0E00-000005000000}" name="Asukastiheys" dataDxfId="7" dataCellStyle="Normaali 2">
      <calculatedColumnFormula>C35/D35</calculatedColumnFormula>
    </tableColumn>
    <tableColumn id="6" xr3:uid="{00000000-0010-0000-0E00-000006000000}" name="Asukastiheyskerroin" dataDxfId="6" dataCellStyle="Normaali 2">
      <calculatedColumnFormula>$E$57/E35</calculatedColumnFormula>
    </tableColumn>
    <tableColumn id="7" xr3:uid="{00000000-0010-0000-0E00-000007000000}" name="RL I (2024)" dataDxfId="5" dataCellStyle="Normaali 2"/>
    <tableColumn id="8" xr3:uid="{00000000-0010-0000-0E00-000008000000}" name="RL II (2024)" dataDxfId="4" dataCellStyle="Normaali 2"/>
    <tableColumn id="9" xr3:uid="{00000000-0010-0000-0E00-000009000000}" name="RL III-IV (2025)" dataDxfId="0" dataCellStyle="Normaali 2"/>
    <tableColumn id="11" xr3:uid="{00000000-0010-0000-0E00-00000B000000}" name="Yhteensä RL I-IV " dataDxfId="3" dataCellStyle="Normaali 2"/>
    <tableColumn id="12" xr3:uid="{00000000-0010-0000-0E00-00000C000000}" name="Painotettu summa" dataDxfId="2" dataCellStyle="Normaali 2">
      <calculatedColumnFormula>J35/C35</calculatedColumnFormula>
    </tableColumn>
    <tableColumn id="13" xr3:uid="{00000000-0010-0000-0E00-00000D000000}" name="Riskikerroin" dataDxfId="1" dataCellStyle="Normaali 2">
      <calculatedColumnFormula>K35/$K$57</calculatedColumnFormula>
    </tableColumn>
  </tableColumns>
  <tableStyleInfo name="TableStyleLight9"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F000000}" name="Sote_määräytymistekijät" displayName="Sote_määräytymistekijät" ref="A7:J30" totalsRowShown="0" headerRowDxfId="39" dataDxfId="38" tableBorderDxfId="37" headerRowCellStyle="Normaali 2" dataCellStyle="Normaali 2">
  <autoFilter ref="A7:J30"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F00-000001000000}" name="Hyvinvointialuekoodi" dataDxfId="36" dataCellStyle="Normaali 2"/>
    <tableColumn id="2" xr3:uid="{00000000-0010-0000-0F00-000002000000}" name="Hyvinvointialue" dataDxfId="35" dataCellStyle="Normaali 2"/>
    <tableColumn id="3" xr3:uid="{00000000-0010-0000-0F00-000003000000}" name="Asukasluku 2024" dataDxfId="34" dataCellStyle="Normaali 2"/>
    <tableColumn id="4" xr3:uid="{00000000-0010-0000-0F00-000004000000}" name="Ruotsinkielisten määrä kaksikielisillä hyvinvointialueilla" dataDxfId="33" dataCellStyle="Normaali 2"/>
    <tableColumn id="5" xr3:uid="{00000000-0010-0000-0F00-000005000000}" name="Saamenkielisten määrä hyvinvointialueella, jolla sijaitsee saamelaisten kotiseutualueen kunnat" dataDxfId="32" dataCellStyle="Normaali 2"/>
    <tableColumn id="6" xr3:uid="{00000000-0010-0000-0F00-000006000000}" name="Vieraskielisten määrä" dataDxfId="31" dataCellStyle="Normaali 2"/>
    <tableColumn id="7" xr3:uid="{00000000-0010-0000-0F00-000007000000}" name="Maapinta-ala, km2" dataDxfId="30" dataCellStyle="Normaali 2"/>
    <tableColumn id="8" xr3:uid="{00000000-0010-0000-0F00-000008000000}" name="Asukastiheys" dataDxfId="29" dataCellStyle="Normaali 2">
      <calculatedColumnFormula>C8/G8</calculatedColumnFormula>
    </tableColumn>
    <tableColumn id="9" xr3:uid="{00000000-0010-0000-0F00-000009000000}" name="Asukastiheyskerroin" dataDxfId="28" dataCellStyle="Normaali 2">
      <calculatedColumnFormula>$H$30/H8</calculatedColumnFormula>
    </tableColumn>
    <tableColumn id="10" xr3:uid="{00000000-0010-0000-0F00-00000A000000}" name="Saaristokuntien saaristossa asuvien määrä" dataDxfId="27" dataCellStyle="Normaali 2"/>
  </tableColumns>
  <tableStyleInfo name="TableStyleLight9"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0000000}" name="Vanhustenhuollon_regressiokertoimet" displayName="Vanhustenhuollon_regressiokertoimet" ref="D4:E67" totalsRowShown="0" headerRowDxfId="26" dataDxfId="25">
  <tableColumns count="2">
    <tableColumn id="1" xr3:uid="{00000000-0010-0000-1000-000001000000}" name="Vanhustenhuollon tarvetekijät" dataDxfId="24"/>
    <tableColumn id="2" xr3:uid="{00000000-0010-0000-1000-000002000000}" name="Regressiokerroin" dataDxfId="23"/>
  </tableColumns>
  <tableStyleInfo name="TableStyleLight9"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1000000}" name="Terveydenhuollon_regressiokertoimet" displayName="Terveydenhuollon_regressiokertoimet" ref="A4:B193" totalsRowShown="0" headerRowDxfId="22" dataDxfId="21">
  <tableColumns count="2">
    <tableColumn id="1" xr3:uid="{00000000-0010-0000-1100-000001000000}" name="Terveydenhuollon tarvetekijät" dataDxfId="20"/>
    <tableColumn id="2" xr3:uid="{00000000-0010-0000-1100-000002000000}" name="Regressiokerroin" dataDxfId="19"/>
  </tableColumns>
  <tableStyleInfo name="TableStyleLight9"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F9DF303-25B4-4BED-9098-7514451D3225}" name="Sosiaalihuollon_regressiokertoimet" displayName="Sosiaalihuollon_regressiokertoimet" ref="G4:H77" totalsRowShown="0" headerRowDxfId="18" tableBorderDxfId="17">
  <tableColumns count="2">
    <tableColumn id="1" xr3:uid="{C0DA564E-A99C-4787-9E19-E691C89E16D1}" name="Sosiaalihuollon tarvetekijät" dataDxfId="16"/>
    <tableColumn id="2" xr3:uid="{07183B49-263A-4353-B349-61BC2A0F376D}" name="Regressiokerroin" dataDxfId="15"/>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Sote_tehtävämuutokset" displayName="Sote_tehtävämuutokset" ref="A30:C47" totalsRowShown="0">
  <autoFilter ref="A30:C47" xr:uid="{00000000-0009-0000-0100-000004000000}">
    <filterColumn colId="0" hiddenButton="1"/>
    <filterColumn colId="1" hiddenButton="1"/>
    <filterColumn colId="2" hiddenButton="1"/>
  </autoFilter>
  <tableColumns count="3">
    <tableColumn id="1" xr3:uid="{00000000-0010-0000-0200-000001000000}" name="Valtion vuoden 2026 talousarvioesityksen mukaiset sote-rahoituksen tehtävämuutokset"/>
    <tableColumn id="3" xr3:uid="{FF601BF0-FF01-4AC1-8C63-4960052AEA17}" name="euroa"/>
    <tableColumn id="2" xr3:uid="{00000000-0010-0000-0200-000002000000}" name="kohdennus"/>
  </tableColumns>
  <tableStyleInfo name="TableStyleLight1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3000000}" name="Hyvinvointialueindeksin_laskenta" displayName="Hyvinvointialueindeksin_laskenta" ref="D7:F11" totalsRowShown="0" headerRowDxfId="194" dataDxfId="193">
  <autoFilter ref="D7:F11" xr:uid="{00000000-0009-0000-0100-000015000000}">
    <filterColumn colId="0" hiddenButton="1"/>
    <filterColumn colId="1" hiddenButton="1"/>
    <filterColumn colId="2" hiddenButton="1"/>
  </autoFilter>
  <tableColumns count="3">
    <tableColumn id="1" xr3:uid="{00000000-0010-0000-0300-000001000000}" name="Indeksi" dataDxfId="192"/>
    <tableColumn id="2" xr3:uid="{00000000-0010-0000-0300-000002000000}" name="Paino" dataDxfId="191"/>
    <tableColumn id="3" xr3:uid="{00000000-0010-0000-0300-000003000000}" name=" " dataDxfId="190"/>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4C4C531-6E67-4100-A548-EE16662EB16B}" name="Pela_tehtävämuutokset" displayName="Pela_tehtävämuutokset" ref="A49:C51" totalsRowShown="0" tableBorderDxfId="189">
  <autoFilter ref="A49:C51" xr:uid="{34C4C531-6E67-4100-A548-EE16662EB16B}">
    <filterColumn colId="0" hiddenButton="1"/>
    <filterColumn colId="1" hiddenButton="1"/>
    <filterColumn colId="2" hiddenButton="1"/>
  </autoFilter>
  <tableColumns count="3">
    <tableColumn id="1" xr3:uid="{7D43724C-FA7B-46EF-BE86-CDA8AA1F744B}" name="Valtion vuoden 2026 talousarvioesityksen mukaiset pela-rahoituksen tehtävämuutokset"/>
    <tableColumn id="2" xr3:uid="{9BD44646-7F77-4400-A7C3-791B19922385}" name="euroa" dataDxfId="188">
      <calculatedColumnFormula>F19</calculatedColumnFormula>
    </tableColumn>
    <tableColumn id="3" xr3:uid="{544907D1-8DE9-45F0-BB6B-F3BD790C3F15}" name="kohdennus"/>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CCCD36B-F993-4263-BD30-DF36DD4E6428}" name="Jälkikäteistarkistuksen_laskenta" displayName="Jälkikäteistarkistuksen_laskenta" ref="A10:E46" headerRowCount="0" totalsRowShown="0" headerRowDxfId="187">
  <tableColumns count="5">
    <tableColumn id="1" xr3:uid="{5B45A407-50EB-4E89-AD9D-7CD6FC6BF10E}" name="Sarake1" headerRowDxfId="186"/>
    <tableColumn id="2" xr3:uid="{490FA70E-E3BB-4737-B966-80374969BB6D}" name="Sarake2" headerRowDxfId="185"/>
    <tableColumn id="3" xr3:uid="{24518723-52CB-4058-8D0E-F3141D393374}" name="Sarake3" headerRowDxfId="184"/>
    <tableColumn id="4" xr3:uid="{6B63866B-70D8-48B9-BF71-6039C8E12A39}" name="Sarake4" headerRowDxfId="183" dataDxfId="182"/>
    <tableColumn id="5" xr3:uid="{9057A344-13BF-4BDA-BD75-C6AC121BBD53}" name="Sarake5" headerRowDxfId="181"/>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40FC7B3D-C719-4BF9-9B38-3007247ED23F}" name="Sote_laskennallinen_määräytymistekijät" displayName="Sote_laskennallinen_määräytymistekijät" ref="A27:M50" totalsRowShown="0" headerRowDxfId="180" dataDxfId="179" tableBorderDxfId="178" headerRowCellStyle="Normaali 2" dataCellStyle="Normaali 2">
  <autoFilter ref="A27:M50"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CC2403C3-DCEC-4B27-85B6-C99BC8E4225F}" name="Hyvinvointialuekoodi" dataDxfId="177" dataCellStyle="Normaali 2"/>
    <tableColumn id="2" xr3:uid="{BF114DB0-197E-4218-87E9-446B90DD3D80}" name="Hyvinvointialue" dataDxfId="176" dataCellStyle="Normaali 2"/>
    <tableColumn id="3" xr3:uid="{5D60E1FB-117D-4C9C-8387-897474061070}" name="Asukasluku" dataDxfId="175" dataCellStyle="Normaali 2">
      <calculatedColumnFormula>Määräytymistekijät!C8</calculatedColumnFormula>
    </tableColumn>
    <tableColumn id="4" xr3:uid="{67F826DD-9F0C-465B-8A7B-78CE3C8BEC69}" name="Terveydenhuollon palvelutarvekerroin" dataDxfId="174" dataCellStyle="Normaali 2"/>
    <tableColumn id="5" xr3:uid="{B562F6A2-0336-478D-9BF2-9ADB049D15F5}" name="Vanhustenhuollon palvelutarvekerroin" dataDxfId="173" dataCellStyle="Normaali 2"/>
    <tableColumn id="6" xr3:uid="{69167818-2333-4264-A278-170E80B70A12}" name="Sosiaalihuollon palvelutarvekerroin" dataDxfId="172" dataCellStyle="Normaali 2"/>
    <tableColumn id="7" xr3:uid="{F37C51F5-FEB0-4DC3-8817-356F3DF64B5D}" name="Vieraskielisten määrä" dataDxfId="171" dataCellStyle="Normaali 2">
      <calculatedColumnFormula>Määräytymistekijät!F8</calculatedColumnFormula>
    </tableColumn>
    <tableColumn id="8" xr3:uid="{9019F590-1EEF-4096-B72A-16489F45BF59}" name="Ruotsinkielisten määrä kaksikielisillä hyvinvointialueilla" dataDxfId="170" dataCellStyle="Normaali 2">
      <calculatedColumnFormula>Määräytymistekijät!D8</calculatedColumnFormula>
    </tableColumn>
    <tableColumn id="9" xr3:uid="{CB4CA78B-B0FE-411F-90CD-E4F8648E9746}" name="Asukastiheyskerroin" dataDxfId="169" dataCellStyle="Normaali 2">
      <calculatedColumnFormula>Määräytymistekijät!I8</calculatedColumnFormula>
    </tableColumn>
    <tableColumn id="10" xr3:uid="{74574B21-2864-4AE5-A36C-7F6C567597F0}" name="Saaristokuntien saaristossa asuvan väestön määrä" dataDxfId="168" dataCellStyle="Normaali 2">
      <calculatedColumnFormula>Määräytymistekijät!J8</calculatedColumnFormula>
    </tableColumn>
    <tableColumn id="11" xr3:uid="{67C11BBE-3F15-42C5-90FD-8CEB1D61D3ED}" name="Hyte-kerroin" dataDxfId="167" dataCellStyle="Normaali 2"/>
    <tableColumn id="12" xr3:uid="{1D993D62-4D6A-4B94-8954-60604AFAB299}" name="Saamenkielisten määrä hyvinvointialueella, jolla sijaitsee saamelaisten kotiseutualueen kunnat " dataDxfId="166" dataCellStyle="Normaali 2">
      <calculatedColumnFormula>Määräytymistekijät!E8</calculatedColumnFormula>
    </tableColumn>
    <tableColumn id="13" xr3:uid="{E07360F9-36B3-4750-9AB4-44D5F0B8C5A4}" name="Yo-sairaala-alueen asuakasluku" dataDxfId="165" dataCellStyle="Normaali 2">
      <calculatedColumnFormula>C28</calculatedColumnFormula>
    </tableColumn>
  </tableColumns>
  <tableStyleInfo name="TableStyleLight13"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A2E1B276-F30F-45AA-A853-D9316CAC59F4}" name="Sote_laskennallinen_rahoitus_per_asukas" displayName="Sote_laskennallinen_rahoitus_per_asukas" ref="A82:N106" totalsRowShown="0" headerRowDxfId="164" dataDxfId="163" tableBorderDxfId="162" headerRowCellStyle="Normaali 2" dataCellStyle="Normaali 2">
  <autoFilter ref="A82:N106"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3CE91A5-EFB7-495D-A707-EFA8655932E3}" name="Hyvinvointialuekoodi" dataDxfId="161" dataCellStyle="Normaali 2"/>
    <tableColumn id="2" xr3:uid="{12E2D1D0-318D-4868-8146-6F71E9206CE9}" name="Hyvinvointialue" dataDxfId="160" dataCellStyle="Normaali 2"/>
    <tableColumn id="3" xr3:uid="{AE871769-1989-4E97-8723-B139A4911E52}" name="Asukasperusteisuus" dataDxfId="159" dataCellStyle="Normaali 2"/>
    <tableColumn id="4" xr3:uid="{528BE6EA-416F-4ECE-971C-55F62894C5FB}" name="Terveydenhuollon palvelutarve" dataDxfId="158" dataCellStyle="Normaali 2"/>
    <tableColumn id="5" xr3:uid="{70D1CDFA-EBE8-4900-8A3C-611829BA6B05}" name="Vanhustenhuollon palvelutarve" dataDxfId="157" dataCellStyle="Normaali 2"/>
    <tableColumn id="6" xr3:uid="{F8ED224B-A5E0-412F-B710-81D32C15F1E3}" name="Sosiaalihuollon palvelutarve" dataDxfId="156" dataCellStyle="Normaali 2"/>
    <tableColumn id="7" xr3:uid="{FB1B9627-E7B4-4BC1-807F-5D0603432667}" name="Vieraskielisyys" dataDxfId="155" dataCellStyle="Normaali 2"/>
    <tableColumn id="8" xr3:uid="{8BBF06ED-051F-4865-8317-61B9DCED3FE2}" name="Kaksikielisyys" dataDxfId="154" dataCellStyle="Normaali 2"/>
    <tableColumn id="9" xr3:uid="{4CFA85AB-098D-4661-A6B6-C6FD41FFB45C}" name="Asukastiheys" dataDxfId="153" dataCellStyle="Normaali 2"/>
    <tableColumn id="10" xr3:uid="{0A1EBF17-4868-4FAD-9307-B38FB304B46D}" name="Saaristoisuus" dataDxfId="152" dataCellStyle="Normaali 2"/>
    <tableColumn id="11" xr3:uid="{AFC5246F-04F6-460C-B2B2-152A7847A5DF}" name="Hyte-kriteeri" dataDxfId="151" dataCellStyle="Normaali 2"/>
    <tableColumn id="12" xr3:uid="{826E679D-1548-4C95-AA01-2C6D1EB7AB7D}" name="Saamenkielisyys" dataDxfId="150" dataCellStyle="Normaali 2"/>
    <tableColumn id="14" xr3:uid="{A1F87D95-5AB7-498D-B2A8-61966F432494}" name="Yo-lisä" dataDxfId="149" dataCellStyle="Normaali 2">
      <calculatedColumnFormula>M54/C28</calculatedColumnFormula>
    </tableColumn>
    <tableColumn id="13" xr3:uid="{EC3783A9-86A2-4A27-B570-05268387F668}" name="Yhteensä, e/as." dataDxfId="148" dataCellStyle="Normaali 2"/>
  </tableColumns>
  <tableStyleInfo name="TableStyleLight13"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49858A28-BC7F-42CF-960F-2226E729CFCA}" name="Sote_laskennallinen_rahoitus_yhteensä" displayName="Sote_laskennallinen_rahoitus_yhteensä" ref="A6:B16" totalsRowShown="0" tableBorderDxfId="147">
  <autoFilter ref="A6:B16" xr:uid="{00000000-0009-0000-0100-000005000000}">
    <filterColumn colId="0" hiddenButton="1"/>
    <filterColumn colId="1" hiddenButton="1"/>
  </autoFilter>
  <tableColumns count="2">
    <tableColumn id="1" xr3:uid="{C775E610-4BBC-4247-AC28-50718C553516}" name="Laskennallinen sote-rahoitus vuonna 2026" dataDxfId="146" dataCellStyle="Normaali 2"/>
    <tableColumn id="2" xr3:uid="{7BCCE03A-59B4-4631-912E-6B63F1112EA6}" name="euroa" dataDxfId="145" dataCellStyle="Normaali 2"/>
  </tableColumns>
  <tableStyleInfo name="TableStyleLight9" showFirstColumn="0" showLastColumn="0" showRowStripes="1" showColumnStripes="0"/>
</table>
</file>

<file path=xl/theme/theme1.xml><?xml version="1.0" encoding="utf-8"?>
<a:theme xmlns:a="http://schemas.openxmlformats.org/drawingml/2006/main" name="VM">
  <a:themeElements>
    <a:clrScheme name="Mukautettu 72">
      <a:dk1>
        <a:srgbClr val="000000"/>
      </a:dk1>
      <a:lt1>
        <a:srgbClr val="FFFFFF"/>
      </a:lt1>
      <a:dk2>
        <a:srgbClr val="006475"/>
      </a:dk2>
      <a:lt2>
        <a:srgbClr val="F3F3F1"/>
      </a:lt2>
      <a:accent1>
        <a:srgbClr val="006475"/>
      </a:accent1>
      <a:accent2>
        <a:srgbClr val="365ABD"/>
      </a:accent2>
      <a:accent3>
        <a:srgbClr val="C48903"/>
      </a:accent3>
      <a:accent4>
        <a:srgbClr val="0098E8"/>
      </a:accent4>
      <a:accent5>
        <a:srgbClr val="1B396D"/>
      </a:accent5>
      <a:accent6>
        <a:srgbClr val="00959B"/>
      </a:accent6>
      <a:hlink>
        <a:srgbClr val="006475"/>
      </a:hlink>
      <a:folHlink>
        <a:srgbClr val="1A7483"/>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VM" id="{3DF45576-4D75-4BF3-81D5-B080B69DE8DE}" vid="{1F6FAD5D-40CC-405A-B866-2B05B4C46EA0}"/>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table" Target="../tables/table23.xml"/><Relationship Id="rId1" Type="http://schemas.openxmlformats.org/officeDocument/2006/relationships/printerSettings" Target="../printerSettings/printerSettings8.bin"/><Relationship Id="rId4" Type="http://schemas.openxmlformats.org/officeDocument/2006/relationships/table" Target="../tables/table25.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 Id="rId5" Type="http://schemas.openxmlformats.org/officeDocument/2006/relationships/table" Target="../tables/table5.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5.bin"/><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table" Target="../tables/table9.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table" Target="../tables/table13.xml"/><Relationship Id="rId1" Type="http://schemas.openxmlformats.org/officeDocument/2006/relationships/table" Target="../tables/table12.xml"/><Relationship Id="rId5" Type="http://schemas.openxmlformats.org/officeDocument/2006/relationships/table" Target="../tables/table16.xml"/><Relationship Id="rId4" Type="http://schemas.openxmlformats.org/officeDocument/2006/relationships/table" Target="../tables/table15.xml"/></Relationships>
</file>

<file path=xl/worksheets/_rels/sheet7.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table" Target="../tables/table17.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table" Target="../tables/table19.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table" Target="../tables/table2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E8C78-36FF-44DC-BCE6-DB6467C84955}">
  <sheetPr>
    <tabColor theme="8"/>
  </sheetPr>
  <dimension ref="A1:G16"/>
  <sheetViews>
    <sheetView tabSelected="1" zoomScale="85" zoomScaleNormal="85" workbookViewId="0"/>
  </sheetViews>
  <sheetFormatPr defaultRowHeight="14"/>
  <cols>
    <col min="1" max="1" width="111.58203125" customWidth="1"/>
    <col min="2" max="2" width="16.25" customWidth="1"/>
  </cols>
  <sheetData>
    <row r="1" spans="1:7" ht="20">
      <c r="A1" s="185" t="s">
        <v>462</v>
      </c>
    </row>
    <row r="2" spans="1:7">
      <c r="A2" s="2" t="s">
        <v>447</v>
      </c>
    </row>
    <row r="3" spans="1:7" ht="30.65" customHeight="1">
      <c r="A3" s="432" t="s">
        <v>436</v>
      </c>
    </row>
    <row r="4" spans="1:7" ht="123.75" customHeight="1">
      <c r="A4" s="521" t="s">
        <v>451</v>
      </c>
      <c r="B4" s="515"/>
    </row>
    <row r="5" spans="1:7" ht="68.150000000000006" customHeight="1">
      <c r="A5" s="432" t="s">
        <v>437</v>
      </c>
      <c r="B5" s="456"/>
    </row>
    <row r="6" spans="1:7" ht="49.5" customHeight="1">
      <c r="A6" s="432" t="s">
        <v>445</v>
      </c>
      <c r="B6" s="456"/>
    </row>
    <row r="7" spans="1:7" ht="39.75" customHeight="1">
      <c r="A7" s="432" t="s">
        <v>446</v>
      </c>
      <c r="B7" s="456"/>
    </row>
    <row r="8" spans="1:7">
      <c r="A8" s="432"/>
      <c r="B8" s="432"/>
    </row>
    <row r="9" spans="1:7">
      <c r="A9" s="10" t="s">
        <v>221</v>
      </c>
      <c r="B9" s="533"/>
      <c r="C9" s="533"/>
      <c r="D9" s="533"/>
      <c r="E9" s="533"/>
      <c r="F9" s="533"/>
      <c r="G9" s="533"/>
    </row>
    <row r="10" spans="1:7">
      <c r="A10" s="10" t="s">
        <v>415</v>
      </c>
    </row>
    <row r="11" spans="1:7">
      <c r="A11" t="s">
        <v>365</v>
      </c>
    </row>
    <row r="12" spans="1:7">
      <c r="A12" t="s">
        <v>222</v>
      </c>
    </row>
    <row r="14" spans="1:7">
      <c r="A14" s="136" t="s">
        <v>432</v>
      </c>
    </row>
    <row r="15" spans="1:7">
      <c r="A15" t="s">
        <v>365</v>
      </c>
    </row>
    <row r="16" spans="1:7">
      <c r="A16" s="261" t="s">
        <v>366</v>
      </c>
    </row>
  </sheetData>
  <mergeCells count="1">
    <mergeCell ref="B9:G9"/>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sheetPr>
  <dimension ref="A1:H193"/>
  <sheetViews>
    <sheetView zoomScale="85" zoomScaleNormal="85" workbookViewId="0"/>
  </sheetViews>
  <sheetFormatPr defaultRowHeight="14"/>
  <cols>
    <col min="1" max="1" width="32.58203125" customWidth="1"/>
    <col min="2" max="2" width="17" customWidth="1"/>
    <col min="4" max="4" width="34.08203125" customWidth="1"/>
    <col min="5" max="5" width="16.5" bestFit="1" customWidth="1"/>
    <col min="7" max="7" width="34.08203125" customWidth="1"/>
    <col min="8" max="8" width="16.5" bestFit="1" customWidth="1"/>
  </cols>
  <sheetData>
    <row r="1" spans="1:8" ht="18">
      <c r="A1" s="186" t="s">
        <v>265</v>
      </c>
      <c r="B1" s="3"/>
      <c r="C1" s="3"/>
      <c r="D1" s="3"/>
      <c r="E1" s="122"/>
      <c r="F1" s="135"/>
      <c r="G1" s="3"/>
      <c r="H1" s="3"/>
    </row>
    <row r="2" spans="1:8" ht="57.75" customHeight="1">
      <c r="A2" s="536" t="s">
        <v>404</v>
      </c>
      <c r="B2" s="536"/>
      <c r="C2" s="536"/>
      <c r="D2" s="536"/>
      <c r="E2" s="536"/>
      <c r="F2" s="3"/>
      <c r="G2" s="327"/>
      <c r="H2" s="3"/>
    </row>
    <row r="3" spans="1:8">
      <c r="A3" s="3"/>
      <c r="B3" s="3"/>
      <c r="C3" s="3"/>
      <c r="D3" s="3"/>
      <c r="E3" s="3"/>
      <c r="F3" s="3"/>
      <c r="G3" s="3"/>
      <c r="H3" s="3"/>
    </row>
    <row r="4" spans="1:8">
      <c r="A4" s="328" t="s">
        <v>42</v>
      </c>
      <c r="B4" s="342" t="s">
        <v>337</v>
      </c>
      <c r="C4" s="127"/>
      <c r="D4" s="328" t="s">
        <v>43</v>
      </c>
      <c r="E4" s="342" t="s">
        <v>337</v>
      </c>
      <c r="F4" s="127"/>
      <c r="G4" s="329" t="s">
        <v>44</v>
      </c>
      <c r="H4" s="329" t="s">
        <v>337</v>
      </c>
    </row>
    <row r="5" spans="1:8">
      <c r="A5" s="330" t="s">
        <v>268</v>
      </c>
      <c r="B5" s="339">
        <v>1016.84899902344</v>
      </c>
      <c r="C5" s="127"/>
      <c r="D5" s="330" t="s">
        <v>338</v>
      </c>
      <c r="E5" s="339">
        <v>-80.007354736328097</v>
      </c>
      <c r="F5" s="127"/>
      <c r="G5" s="334" t="s">
        <v>182</v>
      </c>
      <c r="H5" s="343">
        <v>4.9750342369079599</v>
      </c>
    </row>
    <row r="6" spans="1:8">
      <c r="A6" s="330" t="s">
        <v>269</v>
      </c>
      <c r="B6" s="339">
        <v>34.119083404541001</v>
      </c>
      <c r="C6" s="127"/>
      <c r="D6" s="330" t="s">
        <v>282</v>
      </c>
      <c r="E6" s="339">
        <v>151.46977233886699</v>
      </c>
      <c r="F6" s="127"/>
      <c r="G6" s="334" t="s">
        <v>339</v>
      </c>
      <c r="H6" s="343">
        <v>21.430059432983398</v>
      </c>
    </row>
    <row r="7" spans="1:8">
      <c r="A7" s="330" t="s">
        <v>270</v>
      </c>
      <c r="B7" s="339">
        <v>225.98141479492199</v>
      </c>
      <c r="C7" s="127"/>
      <c r="D7" s="330" t="s">
        <v>283</v>
      </c>
      <c r="E7" s="339">
        <v>967.29852294921898</v>
      </c>
      <c r="F7" s="127"/>
      <c r="G7" s="334" t="s">
        <v>340</v>
      </c>
      <c r="H7" s="343">
        <v>36.784744262695298</v>
      </c>
    </row>
    <row r="8" spans="1:8">
      <c r="A8" s="330" t="s">
        <v>271</v>
      </c>
      <c r="B8" s="339">
        <v>641.730712890625</v>
      </c>
      <c r="C8" s="127"/>
      <c r="D8" s="330" t="s">
        <v>284</v>
      </c>
      <c r="E8" s="339">
        <v>3571.21923828125</v>
      </c>
      <c r="F8" s="127"/>
      <c r="G8" s="334" t="s">
        <v>341</v>
      </c>
      <c r="H8" s="343">
        <v>59.659576416015597</v>
      </c>
    </row>
    <row r="9" spans="1:8">
      <c r="A9" s="330" t="s">
        <v>272</v>
      </c>
      <c r="B9" s="339">
        <v>259.48422241210898</v>
      </c>
      <c r="C9" s="127"/>
      <c r="D9" s="330" t="s">
        <v>285</v>
      </c>
      <c r="E9" s="339">
        <v>8317.5263671875</v>
      </c>
      <c r="F9" s="127"/>
      <c r="G9" s="334" t="s">
        <v>342</v>
      </c>
      <c r="H9" s="343">
        <v>1187.10119628906</v>
      </c>
    </row>
    <row r="10" spans="1:8">
      <c r="A10" s="330" t="s">
        <v>273</v>
      </c>
      <c r="B10" s="339">
        <v>191.73731994628901</v>
      </c>
      <c r="C10" s="127"/>
      <c r="D10" s="330" t="s">
        <v>286</v>
      </c>
      <c r="E10" s="339">
        <v>13401.076171875</v>
      </c>
      <c r="F10" s="127"/>
      <c r="G10" s="334" t="s">
        <v>343</v>
      </c>
      <c r="H10" s="343">
        <v>-135.62501525878901</v>
      </c>
    </row>
    <row r="11" spans="1:8">
      <c r="A11" s="330" t="s">
        <v>274</v>
      </c>
      <c r="B11" s="339">
        <v>144.33003234863301</v>
      </c>
      <c r="C11" s="127"/>
      <c r="D11" s="330" t="s">
        <v>287</v>
      </c>
      <c r="E11" s="339">
        <v>16713.369140625</v>
      </c>
      <c r="F11" s="127"/>
      <c r="G11" s="334" t="s">
        <v>344</v>
      </c>
      <c r="H11" s="343">
        <v>-130.13449096679699</v>
      </c>
    </row>
    <row r="12" spans="1:8">
      <c r="A12" s="330" t="s">
        <v>275</v>
      </c>
      <c r="B12" s="339">
        <v>98.265670776367202</v>
      </c>
      <c r="C12" s="127"/>
      <c r="D12" s="330" t="s">
        <v>301</v>
      </c>
      <c r="E12" s="339">
        <v>193.27195739746099</v>
      </c>
      <c r="F12" s="127"/>
      <c r="G12" s="334" t="s">
        <v>345</v>
      </c>
      <c r="H12" s="343">
        <v>-31.7082328796387</v>
      </c>
    </row>
    <row r="13" spans="1:8">
      <c r="A13" s="330" t="s">
        <v>276</v>
      </c>
      <c r="B13" s="339">
        <v>28.0986328125</v>
      </c>
      <c r="C13" s="127"/>
      <c r="D13" s="330" t="s">
        <v>302</v>
      </c>
      <c r="E13" s="339">
        <v>388.35693359375</v>
      </c>
      <c r="F13" s="127"/>
      <c r="G13" s="334" t="s">
        <v>346</v>
      </c>
      <c r="H13" s="343">
        <v>16.238569259643601</v>
      </c>
    </row>
    <row r="14" spans="1:8">
      <c r="A14" s="330" t="s">
        <v>277</v>
      </c>
      <c r="B14" s="339">
        <v>117.95736694335901</v>
      </c>
      <c r="C14" s="127"/>
      <c r="D14" s="330" t="s">
        <v>303</v>
      </c>
      <c r="E14" s="339">
        <v>1687.87475585938</v>
      </c>
      <c r="F14" s="127"/>
      <c r="G14" s="334" t="s">
        <v>347</v>
      </c>
      <c r="H14" s="343">
        <v>45.275238037109403</v>
      </c>
    </row>
    <row r="15" spans="1:8">
      <c r="A15" s="330" t="s">
        <v>278</v>
      </c>
      <c r="B15" s="339">
        <v>220.17451477050801</v>
      </c>
      <c r="C15" s="127"/>
      <c r="D15" s="330" t="s">
        <v>304</v>
      </c>
      <c r="E15" s="339">
        <v>4896.3076171875</v>
      </c>
      <c r="F15" s="127"/>
      <c r="G15" s="334" t="s">
        <v>348</v>
      </c>
      <c r="H15" s="343">
        <v>87.622970581054702</v>
      </c>
    </row>
    <row r="16" spans="1:8">
      <c r="A16" s="330" t="s">
        <v>279</v>
      </c>
      <c r="B16" s="339">
        <v>153.41426086425801</v>
      </c>
      <c r="C16" s="127"/>
      <c r="D16" s="330" t="s">
        <v>305</v>
      </c>
      <c r="E16" s="339">
        <v>8934.5234375</v>
      </c>
      <c r="F16" s="127"/>
      <c r="G16" s="334" t="s">
        <v>349</v>
      </c>
      <c r="H16" s="343">
        <v>125.164070129395</v>
      </c>
    </row>
    <row r="17" spans="1:8">
      <c r="A17" s="330" t="s">
        <v>280</v>
      </c>
      <c r="B17" s="339">
        <v>180.31838989257801</v>
      </c>
      <c r="C17" s="127"/>
      <c r="D17" s="330" t="s">
        <v>306</v>
      </c>
      <c r="E17" s="339">
        <v>10587.4951171875</v>
      </c>
      <c r="F17" s="127"/>
      <c r="G17" s="334" t="s">
        <v>350</v>
      </c>
      <c r="H17" s="343">
        <v>102.54550170898401</v>
      </c>
    </row>
    <row r="18" spans="1:8">
      <c r="A18" s="330" t="s">
        <v>281</v>
      </c>
      <c r="B18" s="339">
        <v>354.23919677734398</v>
      </c>
      <c r="C18" s="127"/>
      <c r="D18" s="330" t="s">
        <v>45</v>
      </c>
      <c r="E18" s="339">
        <v>3324.96215820312</v>
      </c>
      <c r="F18" s="127"/>
      <c r="G18" s="334" t="s">
        <v>351</v>
      </c>
      <c r="H18" s="343">
        <v>32.494205474853501</v>
      </c>
    </row>
    <row r="19" spans="1:8">
      <c r="A19" s="330" t="s">
        <v>282</v>
      </c>
      <c r="B19" s="339">
        <v>662.98297119140602</v>
      </c>
      <c r="C19" s="127"/>
      <c r="D19" s="330" t="s">
        <v>46</v>
      </c>
      <c r="E19" s="339">
        <v>1418.79565429688</v>
      </c>
      <c r="F19" s="127"/>
      <c r="G19" s="334" t="s">
        <v>352</v>
      </c>
      <c r="H19" s="343">
        <v>45.831905364990199</v>
      </c>
    </row>
    <row r="20" spans="1:8">
      <c r="A20" s="330" t="s">
        <v>283</v>
      </c>
      <c r="B20" s="339">
        <v>700.96447753906295</v>
      </c>
      <c r="C20" s="127"/>
      <c r="D20" s="330" t="s">
        <v>47</v>
      </c>
      <c r="E20" s="339">
        <v>565.790283203125</v>
      </c>
      <c r="F20" s="127"/>
      <c r="G20" s="334" t="s">
        <v>353</v>
      </c>
      <c r="H20" s="343">
        <v>-76.448486328125</v>
      </c>
    </row>
    <row r="21" spans="1:8" s="25" customFormat="1">
      <c r="A21" s="330" t="s">
        <v>284</v>
      </c>
      <c r="B21" s="339">
        <v>939.03558349609398</v>
      </c>
      <c r="C21" s="332"/>
      <c r="D21" s="330" t="s">
        <v>48</v>
      </c>
      <c r="E21" s="339">
        <v>982.90100097656295</v>
      </c>
      <c r="F21" s="332"/>
      <c r="G21" s="334" t="s">
        <v>354</v>
      </c>
      <c r="H21" s="343">
        <v>-187.46057128906301</v>
      </c>
    </row>
    <row r="22" spans="1:8">
      <c r="A22" s="330" t="s">
        <v>285</v>
      </c>
      <c r="B22" s="339">
        <v>446.18515014648398</v>
      </c>
      <c r="C22" s="127"/>
      <c r="D22" s="330" t="s">
        <v>49</v>
      </c>
      <c r="E22" s="339">
        <v>2158.96752929687</v>
      </c>
      <c r="F22" s="127"/>
      <c r="G22" s="334" t="s">
        <v>355</v>
      </c>
      <c r="H22" s="343">
        <v>-427.12625122070301</v>
      </c>
    </row>
    <row r="23" spans="1:8">
      <c r="A23" s="330" t="s">
        <v>286</v>
      </c>
      <c r="B23" s="339">
        <v>-407.945556640625</v>
      </c>
      <c r="C23" s="127"/>
      <c r="D23" s="330" t="s">
        <v>50</v>
      </c>
      <c r="E23" s="339">
        <v>4147.17236328125</v>
      </c>
      <c r="F23" s="127"/>
      <c r="G23" s="334" t="s">
        <v>356</v>
      </c>
      <c r="H23" s="343">
        <v>-756.01989746093795</v>
      </c>
    </row>
    <row r="24" spans="1:8">
      <c r="A24" s="330" t="s">
        <v>287</v>
      </c>
      <c r="B24" s="339">
        <v>-888.6787109375</v>
      </c>
      <c r="C24" s="127"/>
      <c r="D24" s="330" t="s">
        <v>51</v>
      </c>
      <c r="E24" s="339">
        <v>7452.9755859375</v>
      </c>
      <c r="F24" s="127"/>
      <c r="G24" s="334" t="s">
        <v>357</v>
      </c>
      <c r="H24" s="343">
        <v>-1063.6865234375</v>
      </c>
    </row>
    <row r="25" spans="1:8">
      <c r="A25" s="330" t="s">
        <v>288</v>
      </c>
      <c r="B25" s="339">
        <v>1315.39575195313</v>
      </c>
      <c r="C25" s="127"/>
      <c r="D25" s="330" t="s">
        <v>52</v>
      </c>
      <c r="E25" s="339">
        <v>3553.00073242187</v>
      </c>
      <c r="F25" s="127"/>
      <c r="G25" s="334" t="s">
        <v>53</v>
      </c>
      <c r="H25" s="343">
        <v>1096.03686523438</v>
      </c>
    </row>
    <row r="26" spans="1:8">
      <c r="A26" s="330" t="s">
        <v>289</v>
      </c>
      <c r="B26" s="339">
        <v>211.22898864746099</v>
      </c>
      <c r="C26" s="127"/>
      <c r="D26" s="330" t="s">
        <v>54</v>
      </c>
      <c r="E26" s="339">
        <v>637.80670166015602</v>
      </c>
      <c r="F26" s="127"/>
      <c r="G26" s="334" t="s">
        <v>46</v>
      </c>
      <c r="H26" s="343">
        <v>651.76885986328102</v>
      </c>
    </row>
    <row r="27" spans="1:8">
      <c r="A27" s="330" t="s">
        <v>290</v>
      </c>
      <c r="B27" s="339">
        <v>251.36721801757801</v>
      </c>
      <c r="C27" s="127"/>
      <c r="D27" s="330" t="s">
        <v>55</v>
      </c>
      <c r="E27" s="339">
        <v>3695.62744140625</v>
      </c>
      <c r="F27" s="127"/>
      <c r="G27" s="334" t="s">
        <v>50</v>
      </c>
      <c r="H27" s="343">
        <v>2415.51611328125</v>
      </c>
    </row>
    <row r="28" spans="1:8">
      <c r="A28" s="330" t="s">
        <v>291</v>
      </c>
      <c r="B28" s="339">
        <v>92.708259582519503</v>
      </c>
      <c r="C28" s="127"/>
      <c r="D28" s="330" t="s">
        <v>183</v>
      </c>
      <c r="E28" s="339">
        <v>19316.92578125</v>
      </c>
      <c r="F28" s="127"/>
      <c r="G28" s="334" t="s">
        <v>56</v>
      </c>
      <c r="H28" s="343">
        <v>3879.025390625</v>
      </c>
    </row>
    <row r="29" spans="1:8">
      <c r="A29" s="330" t="s">
        <v>292</v>
      </c>
      <c r="B29" s="339">
        <v>80.115539550781193</v>
      </c>
      <c r="C29" s="127"/>
      <c r="D29" s="330" t="s">
        <v>57</v>
      </c>
      <c r="E29" s="339">
        <v>11592.3056640625</v>
      </c>
      <c r="F29" s="127"/>
      <c r="G29" s="334" t="s">
        <v>51</v>
      </c>
      <c r="H29" s="343">
        <v>1678.10595703125</v>
      </c>
    </row>
    <row r="30" spans="1:8">
      <c r="A30" s="330" t="s">
        <v>293</v>
      </c>
      <c r="B30" s="339">
        <v>97.0323486328125</v>
      </c>
      <c r="C30" s="127"/>
      <c r="D30" s="330" t="s">
        <v>58</v>
      </c>
      <c r="E30" s="339">
        <v>5066.9609375</v>
      </c>
      <c r="F30" s="127"/>
      <c r="G30" s="334" t="s">
        <v>52</v>
      </c>
      <c r="H30" s="343">
        <v>53.671707153320298</v>
      </c>
    </row>
    <row r="31" spans="1:8">
      <c r="A31" s="330" t="s">
        <v>294</v>
      </c>
      <c r="B31" s="339">
        <v>-5.4153757095336896</v>
      </c>
      <c r="C31" s="127"/>
      <c r="D31" s="330" t="s">
        <v>59</v>
      </c>
      <c r="E31" s="339">
        <v>3116.15478515625</v>
      </c>
      <c r="F31" s="127"/>
      <c r="G31" s="334" t="s">
        <v>60</v>
      </c>
      <c r="H31" s="343">
        <v>27300.744140625</v>
      </c>
    </row>
    <row r="32" spans="1:8">
      <c r="A32" s="330" t="s">
        <v>295</v>
      </c>
      <c r="B32" s="339">
        <v>34.606395721435497</v>
      </c>
      <c r="C32" s="127"/>
      <c r="D32" s="330" t="s">
        <v>61</v>
      </c>
      <c r="E32" s="339">
        <v>4191.09423828125</v>
      </c>
      <c r="F32" s="127"/>
      <c r="G32" s="334" t="s">
        <v>62</v>
      </c>
      <c r="H32" s="343">
        <v>4941.4345703125</v>
      </c>
    </row>
    <row r="33" spans="1:8">
      <c r="A33" s="330" t="s">
        <v>296</v>
      </c>
      <c r="B33" s="339">
        <v>25.235486984252901</v>
      </c>
      <c r="C33" s="127"/>
      <c r="D33" s="330" t="s">
        <v>63</v>
      </c>
      <c r="E33" s="339">
        <v>9259.166015625</v>
      </c>
      <c r="F33" s="127"/>
      <c r="G33" s="334" t="s">
        <v>64</v>
      </c>
      <c r="H33" s="343">
        <v>7196.6279296875</v>
      </c>
    </row>
    <row r="34" spans="1:8">
      <c r="A34" s="330" t="s">
        <v>297</v>
      </c>
      <c r="B34" s="339">
        <v>137.17666625976599</v>
      </c>
      <c r="C34" s="127"/>
      <c r="D34" s="330" t="s">
        <v>65</v>
      </c>
      <c r="E34" s="339">
        <v>1050.13513183594</v>
      </c>
      <c r="F34" s="127"/>
      <c r="G34" s="334" t="s">
        <v>183</v>
      </c>
      <c r="H34" s="343">
        <v>236.75988769531199</v>
      </c>
    </row>
    <row r="35" spans="1:8">
      <c r="A35" s="330" t="s">
        <v>298</v>
      </c>
      <c r="B35" s="339">
        <v>172.27281188964801</v>
      </c>
      <c r="C35" s="127"/>
      <c r="D35" s="330" t="s">
        <v>66</v>
      </c>
      <c r="E35" s="339">
        <v>7833.3701171875</v>
      </c>
      <c r="F35" s="127"/>
      <c r="G35" s="334" t="s">
        <v>57</v>
      </c>
      <c r="H35" s="343">
        <v>12986.1591796875</v>
      </c>
    </row>
    <row r="36" spans="1:8">
      <c r="A36" s="330" t="s">
        <v>299</v>
      </c>
      <c r="B36" s="339">
        <v>243.25776672363301</v>
      </c>
      <c r="C36" s="127"/>
      <c r="D36" s="330" t="s">
        <v>67</v>
      </c>
      <c r="E36" s="339">
        <v>5469.318359375</v>
      </c>
      <c r="F36" s="127"/>
      <c r="G36" s="334" t="s">
        <v>58</v>
      </c>
      <c r="H36" s="343">
        <v>942.42492675781205</v>
      </c>
    </row>
    <row r="37" spans="1:8">
      <c r="A37" s="330" t="s">
        <v>300</v>
      </c>
      <c r="B37" s="339">
        <v>473.59558105468699</v>
      </c>
      <c r="C37" s="127"/>
      <c r="D37" s="330" t="s">
        <v>68</v>
      </c>
      <c r="E37" s="339">
        <v>160.53730773925801</v>
      </c>
      <c r="F37" s="127"/>
      <c r="G37" s="334" t="s">
        <v>59</v>
      </c>
      <c r="H37" s="343">
        <v>1981.60327148438</v>
      </c>
    </row>
    <row r="38" spans="1:8">
      <c r="A38" s="330" t="s">
        <v>301</v>
      </c>
      <c r="B38" s="339">
        <v>834.87640380859398</v>
      </c>
      <c r="C38" s="127"/>
      <c r="D38" s="330" t="s">
        <v>69</v>
      </c>
      <c r="E38" s="339">
        <v>2655.05590820312</v>
      </c>
      <c r="F38" s="127"/>
      <c r="G38" s="334" t="s">
        <v>61</v>
      </c>
      <c r="H38" s="343">
        <v>11700.6923828125</v>
      </c>
    </row>
    <row r="39" spans="1:8">
      <c r="A39" s="330" t="s">
        <v>302</v>
      </c>
      <c r="B39" s="339">
        <v>1087.41320800781</v>
      </c>
      <c r="C39" s="127"/>
      <c r="D39" s="330" t="s">
        <v>70</v>
      </c>
      <c r="E39" s="339">
        <v>7026.5126953125</v>
      </c>
      <c r="F39" s="127"/>
      <c r="G39" s="334" t="s">
        <v>63</v>
      </c>
      <c r="H39" s="343">
        <v>3458.87841796875</v>
      </c>
    </row>
    <row r="40" spans="1:8">
      <c r="A40" s="330" t="s">
        <v>303</v>
      </c>
      <c r="B40" s="339">
        <v>1440.91552734375</v>
      </c>
      <c r="C40" s="127"/>
      <c r="D40" s="330" t="s">
        <v>71</v>
      </c>
      <c r="E40" s="339">
        <v>925.64709472656205</v>
      </c>
      <c r="F40" s="127"/>
      <c r="G40" s="334" t="s">
        <v>65</v>
      </c>
      <c r="H40" s="343">
        <v>706.59924316406295</v>
      </c>
    </row>
    <row r="41" spans="1:8">
      <c r="A41" s="330" t="s">
        <v>304</v>
      </c>
      <c r="B41" s="339">
        <v>1493.47644042969</v>
      </c>
      <c r="C41" s="127"/>
      <c r="D41" s="330" t="s">
        <v>72</v>
      </c>
      <c r="E41" s="339">
        <v>1510.78002929688</v>
      </c>
      <c r="F41" s="127"/>
      <c r="G41" s="334" t="s">
        <v>66</v>
      </c>
      <c r="H41" s="343">
        <v>1928.34350585938</v>
      </c>
    </row>
    <row r="42" spans="1:8">
      <c r="A42" s="330" t="s">
        <v>305</v>
      </c>
      <c r="B42" s="339">
        <v>1092.64233398438</v>
      </c>
      <c r="C42" s="127"/>
      <c r="D42" s="330" t="s">
        <v>184</v>
      </c>
      <c r="E42" s="339">
        <v>2198.39428710937</v>
      </c>
      <c r="F42" s="127"/>
      <c r="G42" s="334" t="s">
        <v>67</v>
      </c>
      <c r="H42" s="343">
        <v>2502.76025390625</v>
      </c>
    </row>
    <row r="43" spans="1:8">
      <c r="A43" s="330" t="s">
        <v>306</v>
      </c>
      <c r="B43" s="339">
        <v>1078.72473144531</v>
      </c>
      <c r="C43" s="127"/>
      <c r="D43" s="330" t="s">
        <v>185</v>
      </c>
      <c r="E43" s="339">
        <v>1715.74951171875</v>
      </c>
      <c r="F43" s="127"/>
      <c r="G43" s="334" t="s">
        <v>70</v>
      </c>
      <c r="H43" s="343">
        <v>687.083740234375</v>
      </c>
    </row>
    <row r="44" spans="1:8">
      <c r="A44" s="330" t="s">
        <v>45</v>
      </c>
      <c r="B44" s="339">
        <v>1460.69812011719</v>
      </c>
      <c r="C44" s="127"/>
      <c r="D44" s="330" t="s">
        <v>186</v>
      </c>
      <c r="E44" s="339">
        <v>582.742919921875</v>
      </c>
      <c r="F44" s="127"/>
      <c r="G44" s="334" t="s">
        <v>184</v>
      </c>
      <c r="H44" s="343">
        <v>619.17962646484398</v>
      </c>
    </row>
    <row r="45" spans="1:8">
      <c r="A45" s="330" t="s">
        <v>53</v>
      </c>
      <c r="B45" s="339">
        <v>3246.28735351562</v>
      </c>
      <c r="C45" s="127"/>
      <c r="D45" s="330" t="s">
        <v>73</v>
      </c>
      <c r="E45" s="339">
        <v>575.12548828125</v>
      </c>
      <c r="F45" s="127"/>
      <c r="G45" s="334" t="s">
        <v>74</v>
      </c>
      <c r="H45" s="343">
        <v>180.84840393066401</v>
      </c>
    </row>
    <row r="46" spans="1:8">
      <c r="A46" s="330" t="s">
        <v>75</v>
      </c>
      <c r="B46" s="339">
        <v>942.47399902343795</v>
      </c>
      <c r="C46" s="127"/>
      <c r="D46" s="330" t="s">
        <v>76</v>
      </c>
      <c r="E46" s="339">
        <v>4787.8994140625</v>
      </c>
      <c r="F46" s="127"/>
      <c r="G46" s="334" t="s">
        <v>185</v>
      </c>
      <c r="H46" s="343">
        <v>3983.29321289062</v>
      </c>
    </row>
    <row r="47" spans="1:8">
      <c r="A47" s="330" t="s">
        <v>77</v>
      </c>
      <c r="B47" s="339">
        <v>2634.17529296875</v>
      </c>
      <c r="C47" s="127"/>
      <c r="D47" s="330" t="s">
        <v>187</v>
      </c>
      <c r="E47" s="339">
        <v>665.01306152343795</v>
      </c>
      <c r="F47" s="127"/>
      <c r="G47" s="334" t="s">
        <v>186</v>
      </c>
      <c r="H47" s="343">
        <v>651.975341796875</v>
      </c>
    </row>
    <row r="48" spans="1:8">
      <c r="A48" s="330" t="s">
        <v>46</v>
      </c>
      <c r="B48" s="339">
        <v>1839.85876464844</v>
      </c>
      <c r="C48" s="127"/>
      <c r="D48" s="330" t="s">
        <v>78</v>
      </c>
      <c r="E48" s="339">
        <v>607.69006347656295</v>
      </c>
      <c r="F48" s="127"/>
      <c r="G48" s="334" t="s">
        <v>323</v>
      </c>
      <c r="H48" s="343">
        <v>613.81115722656295</v>
      </c>
    </row>
    <row r="49" spans="1:8">
      <c r="A49" s="330" t="s">
        <v>79</v>
      </c>
      <c r="B49" s="339">
        <v>381.45748901367199</v>
      </c>
      <c r="C49" s="127"/>
      <c r="D49" s="330" t="s">
        <v>80</v>
      </c>
      <c r="E49" s="339">
        <v>3598.9326171875</v>
      </c>
      <c r="F49" s="127"/>
      <c r="G49" s="334" t="s">
        <v>76</v>
      </c>
      <c r="H49" s="343">
        <v>1129.13317871094</v>
      </c>
    </row>
    <row r="50" spans="1:8">
      <c r="A50" s="330" t="s">
        <v>307</v>
      </c>
      <c r="B50" s="339">
        <v>2772.90014648438</v>
      </c>
      <c r="C50" s="127"/>
      <c r="D50" s="330" t="s">
        <v>81</v>
      </c>
      <c r="E50" s="339">
        <v>4954.5751953125</v>
      </c>
      <c r="F50" s="127"/>
      <c r="G50" s="334" t="s">
        <v>187</v>
      </c>
      <c r="H50" s="343">
        <v>128.23941040039099</v>
      </c>
    </row>
    <row r="51" spans="1:8">
      <c r="A51" s="330" t="s">
        <v>308</v>
      </c>
      <c r="B51" s="339">
        <v>4571.1689453125</v>
      </c>
      <c r="C51" s="127"/>
      <c r="D51" s="330" t="s">
        <v>82</v>
      </c>
      <c r="E51" s="339">
        <v>668.370361328125</v>
      </c>
      <c r="F51" s="127"/>
      <c r="G51" s="334" t="s">
        <v>83</v>
      </c>
      <c r="H51" s="343">
        <v>156.78466796875</v>
      </c>
    </row>
    <row r="52" spans="1:8">
      <c r="A52" s="330" t="s">
        <v>309</v>
      </c>
      <c r="B52" s="339">
        <v>4136.439453125</v>
      </c>
      <c r="C52" s="127"/>
      <c r="D52" s="330" t="s">
        <v>84</v>
      </c>
      <c r="E52" s="339">
        <v>1750.40014648438</v>
      </c>
      <c r="F52" s="127"/>
      <c r="G52" s="334" t="s">
        <v>81</v>
      </c>
      <c r="H52" s="343">
        <v>654.83819580078102</v>
      </c>
    </row>
    <row r="53" spans="1:8">
      <c r="A53" s="330" t="s">
        <v>310</v>
      </c>
      <c r="B53" s="339">
        <v>5576.03515625</v>
      </c>
      <c r="C53" s="127"/>
      <c r="D53" s="330" t="s">
        <v>85</v>
      </c>
      <c r="E53" s="339">
        <v>5677.517578125</v>
      </c>
      <c r="F53" s="127"/>
      <c r="G53" s="334" t="s">
        <v>188</v>
      </c>
      <c r="H53" s="343">
        <v>186.07319641113301</v>
      </c>
    </row>
    <row r="54" spans="1:8">
      <c r="A54" s="330" t="s">
        <v>311</v>
      </c>
      <c r="B54" s="339">
        <v>680.55352783203102</v>
      </c>
      <c r="C54" s="127"/>
      <c r="D54" s="330" t="s">
        <v>86</v>
      </c>
      <c r="E54" s="339">
        <v>2698.08374023438</v>
      </c>
      <c r="F54" s="127"/>
      <c r="G54" s="334" t="s">
        <v>84</v>
      </c>
      <c r="H54" s="343">
        <v>413.75146484375</v>
      </c>
    </row>
    <row r="55" spans="1:8">
      <c r="A55" s="330" t="s">
        <v>312</v>
      </c>
      <c r="B55" s="339">
        <v>4419.23095703125</v>
      </c>
      <c r="C55" s="127"/>
      <c r="D55" s="330" t="s">
        <v>87</v>
      </c>
      <c r="E55" s="339">
        <v>5188.5</v>
      </c>
      <c r="F55" s="127"/>
      <c r="G55" s="334" t="s">
        <v>86</v>
      </c>
      <c r="H55" s="343">
        <v>1799.63073730469</v>
      </c>
    </row>
    <row r="56" spans="1:8">
      <c r="A56" s="330" t="s">
        <v>313</v>
      </c>
      <c r="B56" s="339">
        <v>1817.85705566406</v>
      </c>
      <c r="C56" s="127"/>
      <c r="D56" s="330" t="s">
        <v>88</v>
      </c>
      <c r="E56" s="339">
        <v>4918.1630859375</v>
      </c>
      <c r="F56" s="127"/>
      <c r="G56" s="334" t="s">
        <v>87</v>
      </c>
      <c r="H56" s="343">
        <v>3580.6630859375</v>
      </c>
    </row>
    <row r="57" spans="1:8">
      <c r="A57" s="330" t="s">
        <v>314</v>
      </c>
      <c r="B57" s="339">
        <v>3210.962890625</v>
      </c>
      <c r="C57" s="127"/>
      <c r="D57" s="330" t="s">
        <v>89</v>
      </c>
      <c r="E57" s="339">
        <v>8150.74462890625</v>
      </c>
      <c r="F57" s="127"/>
      <c r="G57" s="334" t="s">
        <v>88</v>
      </c>
      <c r="H57" s="343">
        <v>4442.69189453125</v>
      </c>
    </row>
    <row r="58" spans="1:8">
      <c r="A58" s="330" t="s">
        <v>315</v>
      </c>
      <c r="B58" s="339">
        <v>1464.39965820313</v>
      </c>
      <c r="C58" s="127"/>
      <c r="D58" s="330" t="s">
        <v>90</v>
      </c>
      <c r="E58" s="339">
        <v>11163.73828125</v>
      </c>
      <c r="F58" s="127"/>
      <c r="G58" s="334" t="s">
        <v>89</v>
      </c>
      <c r="H58" s="343">
        <v>5890.18701171875</v>
      </c>
    </row>
    <row r="59" spans="1:8">
      <c r="A59" s="330" t="s">
        <v>316</v>
      </c>
      <c r="B59" s="339">
        <v>2097.31567382812</v>
      </c>
      <c r="C59" s="127"/>
      <c r="D59" s="330" t="s">
        <v>324</v>
      </c>
      <c r="E59" s="339">
        <v>1024.55993652344</v>
      </c>
      <c r="F59" s="127"/>
      <c r="G59" s="334" t="s">
        <v>90</v>
      </c>
      <c r="H59" s="343">
        <v>14458.31640625</v>
      </c>
    </row>
    <row r="60" spans="1:8">
      <c r="A60" s="330" t="s">
        <v>317</v>
      </c>
      <c r="B60" s="339">
        <v>3806.79833984375</v>
      </c>
      <c r="C60" s="127"/>
      <c r="D60" s="330" t="s">
        <v>327</v>
      </c>
      <c r="E60" s="339">
        <v>-280.31222534179699</v>
      </c>
      <c r="F60" s="127"/>
      <c r="G60" s="334" t="s">
        <v>324</v>
      </c>
      <c r="H60" s="343">
        <v>1520.62951660156</v>
      </c>
    </row>
    <row r="61" spans="1:8">
      <c r="A61" s="330" t="s">
        <v>318</v>
      </c>
      <c r="B61" s="339">
        <v>1680.05493164063</v>
      </c>
      <c r="C61" s="127"/>
      <c r="D61" s="330" t="s">
        <v>328</v>
      </c>
      <c r="E61" s="339">
        <v>-147.80339050293</v>
      </c>
      <c r="F61" s="127"/>
      <c r="G61" s="334" t="s">
        <v>91</v>
      </c>
      <c r="H61" s="343">
        <v>3012.990234375</v>
      </c>
    </row>
    <row r="62" spans="1:8">
      <c r="A62" s="330" t="s">
        <v>319</v>
      </c>
      <c r="B62" s="339">
        <v>5918.2919921875</v>
      </c>
      <c r="C62" s="127"/>
      <c r="D62" s="330" t="s">
        <v>92</v>
      </c>
      <c r="E62" s="339">
        <v>-1257.71850585938</v>
      </c>
      <c r="F62" s="127"/>
      <c r="G62" s="334" t="s">
        <v>93</v>
      </c>
      <c r="H62" s="343">
        <v>2069.18139648437</v>
      </c>
    </row>
    <row r="63" spans="1:8">
      <c r="A63" s="330" t="s">
        <v>320</v>
      </c>
      <c r="B63" s="339">
        <v>6234.0146484375</v>
      </c>
      <c r="C63" s="127"/>
      <c r="D63" s="330" t="s">
        <v>94</v>
      </c>
      <c r="E63" s="339">
        <v>2264.72045898437</v>
      </c>
      <c r="F63" s="127"/>
      <c r="G63" s="334" t="s">
        <v>95</v>
      </c>
      <c r="H63" s="343">
        <v>946.61096191406205</v>
      </c>
    </row>
    <row r="64" spans="1:8">
      <c r="A64" s="330" t="s">
        <v>321</v>
      </c>
      <c r="B64" s="339">
        <v>311.94488525390602</v>
      </c>
      <c r="C64" s="127"/>
      <c r="D64" s="330" t="s">
        <v>96</v>
      </c>
      <c r="E64" s="339">
        <v>1030.03967285156</v>
      </c>
      <c r="F64" s="127"/>
      <c r="G64" s="334" t="s">
        <v>97</v>
      </c>
      <c r="H64" s="343">
        <v>626.27294921875</v>
      </c>
    </row>
    <row r="65" spans="1:8">
      <c r="A65" s="330" t="s">
        <v>98</v>
      </c>
      <c r="B65" s="339">
        <v>1280.18481445313</v>
      </c>
      <c r="C65" s="127"/>
      <c r="D65" s="330" t="s">
        <v>99</v>
      </c>
      <c r="E65" s="339">
        <v>1758.47277832031</v>
      </c>
      <c r="F65" s="127"/>
      <c r="G65" s="334" t="s">
        <v>100</v>
      </c>
      <c r="H65" s="343">
        <v>732.63073730468795</v>
      </c>
    </row>
    <row r="66" spans="1:8">
      <c r="A66" s="330" t="s">
        <v>101</v>
      </c>
      <c r="B66" s="339">
        <v>3096.77734375</v>
      </c>
      <c r="C66" s="127"/>
      <c r="D66" s="331" t="s">
        <v>333</v>
      </c>
      <c r="E66" s="339">
        <v>-1305.95288085938</v>
      </c>
      <c r="F66" s="127"/>
      <c r="G66" s="335" t="s">
        <v>102</v>
      </c>
      <c r="H66" s="344">
        <v>-11.5182962417603</v>
      </c>
    </row>
    <row r="67" spans="1:8">
      <c r="A67" s="330" t="s">
        <v>47</v>
      </c>
      <c r="B67" s="339">
        <v>2858.33178710938</v>
      </c>
      <c r="C67" s="127"/>
      <c r="D67" s="331" t="s">
        <v>336</v>
      </c>
      <c r="E67" s="339">
        <v>11410.3916015625</v>
      </c>
      <c r="F67" s="127"/>
      <c r="G67" s="334" t="s">
        <v>103</v>
      </c>
      <c r="H67" s="343">
        <v>-323.98455810546898</v>
      </c>
    </row>
    <row r="68" spans="1:8">
      <c r="A68" s="330" t="s">
        <v>104</v>
      </c>
      <c r="B68" s="339">
        <v>3462.61547851562</v>
      </c>
      <c r="C68" s="127"/>
      <c r="D68" s="127"/>
      <c r="E68" s="127"/>
      <c r="F68" s="127"/>
      <c r="G68" s="334" t="s">
        <v>105</v>
      </c>
      <c r="H68" s="343">
        <v>28.265132904052699</v>
      </c>
    </row>
    <row r="69" spans="1:8">
      <c r="A69" s="330" t="s">
        <v>106</v>
      </c>
      <c r="B69" s="339">
        <v>4606.84814453125</v>
      </c>
      <c r="C69" s="127"/>
      <c r="D69" s="127"/>
      <c r="E69" s="127"/>
      <c r="F69" s="127"/>
      <c r="G69" s="334" t="s">
        <v>327</v>
      </c>
      <c r="H69" s="343">
        <v>-291.64511108398398</v>
      </c>
    </row>
    <row r="70" spans="1:8">
      <c r="A70" s="330" t="s">
        <v>107</v>
      </c>
      <c r="B70" s="339">
        <v>87.7061767578125</v>
      </c>
      <c r="C70" s="127"/>
      <c r="D70" s="127"/>
      <c r="E70" s="127"/>
      <c r="F70" s="127"/>
      <c r="G70" s="334" t="s">
        <v>328</v>
      </c>
      <c r="H70" s="343">
        <v>-132.17971801757801</v>
      </c>
    </row>
    <row r="71" spans="1:8">
      <c r="A71" s="330" t="s">
        <v>48</v>
      </c>
      <c r="B71" s="339">
        <v>706.72357177734398</v>
      </c>
      <c r="C71" s="127"/>
      <c r="D71" s="127"/>
      <c r="E71" s="127"/>
      <c r="F71" s="127"/>
      <c r="G71" s="334" t="s">
        <v>92</v>
      </c>
      <c r="H71" s="343">
        <v>-423.50775146484398</v>
      </c>
    </row>
    <row r="72" spans="1:8">
      <c r="A72" s="330" t="s">
        <v>108</v>
      </c>
      <c r="B72" s="339">
        <v>1068.00561523438</v>
      </c>
      <c r="C72" s="127"/>
      <c r="D72" s="127"/>
      <c r="E72" s="127"/>
      <c r="F72" s="127"/>
      <c r="G72" s="334" t="s">
        <v>94</v>
      </c>
      <c r="H72" s="343">
        <v>149.97135925293</v>
      </c>
    </row>
    <row r="73" spans="1:8">
      <c r="A73" s="330" t="s">
        <v>109</v>
      </c>
      <c r="B73" s="339">
        <v>766.60784912109398</v>
      </c>
      <c r="C73" s="127"/>
      <c r="D73" s="127"/>
      <c r="E73" s="127"/>
      <c r="F73" s="127"/>
      <c r="G73" s="334" t="s">
        <v>96</v>
      </c>
      <c r="H73" s="343">
        <v>-72.207450866699205</v>
      </c>
    </row>
    <row r="74" spans="1:8">
      <c r="A74" s="330" t="s">
        <v>110</v>
      </c>
      <c r="B74" s="339">
        <v>248.80116271972699</v>
      </c>
      <c r="C74" s="127"/>
      <c r="D74" s="127"/>
      <c r="E74" s="127"/>
      <c r="F74" s="127"/>
      <c r="G74" s="334" t="s">
        <v>99</v>
      </c>
      <c r="H74" s="343">
        <v>-112.910285949707</v>
      </c>
    </row>
    <row r="75" spans="1:8">
      <c r="A75" s="330" t="s">
        <v>49</v>
      </c>
      <c r="B75" s="339">
        <v>842.75012207031205</v>
      </c>
      <c r="C75" s="127"/>
      <c r="D75" s="127"/>
      <c r="E75" s="127"/>
      <c r="F75" s="127"/>
      <c r="G75" s="334" t="s">
        <v>111</v>
      </c>
      <c r="H75" s="343">
        <v>272.51791381835898</v>
      </c>
    </row>
    <row r="76" spans="1:8">
      <c r="A76" s="330" t="s">
        <v>50</v>
      </c>
      <c r="B76" s="339">
        <v>2744.43212890625</v>
      </c>
      <c r="C76" s="127"/>
      <c r="D76" s="127"/>
      <c r="E76" s="127"/>
      <c r="F76" s="127"/>
      <c r="G76" s="336" t="s">
        <v>333</v>
      </c>
      <c r="H76" s="345">
        <v>-479.099853515625</v>
      </c>
    </row>
    <row r="77" spans="1:8">
      <c r="A77" s="330" t="s">
        <v>56</v>
      </c>
      <c r="B77" s="339">
        <v>8004.64990234375</v>
      </c>
      <c r="C77" s="127"/>
      <c r="D77" s="127"/>
      <c r="E77" s="127"/>
      <c r="F77" s="127"/>
      <c r="G77" s="334" t="s">
        <v>336</v>
      </c>
      <c r="H77" s="343">
        <v>4398.98046875</v>
      </c>
    </row>
    <row r="78" spans="1:8">
      <c r="A78" s="330" t="s">
        <v>112</v>
      </c>
      <c r="B78" s="339">
        <v>135.80549621582</v>
      </c>
      <c r="C78" s="127"/>
      <c r="D78" s="127"/>
      <c r="E78" s="127"/>
      <c r="F78" s="127"/>
      <c r="G78" s="127"/>
      <c r="H78" s="127"/>
    </row>
    <row r="79" spans="1:8">
      <c r="A79" s="330" t="s">
        <v>51</v>
      </c>
      <c r="B79" s="339">
        <v>6085.15576171875</v>
      </c>
      <c r="C79" s="127"/>
      <c r="D79" s="127"/>
      <c r="E79" s="127"/>
      <c r="F79" s="127"/>
      <c r="G79" s="127"/>
      <c r="H79" s="127"/>
    </row>
    <row r="80" spans="1:8">
      <c r="A80" s="330" t="s">
        <v>52</v>
      </c>
      <c r="B80" s="339">
        <v>911.343017578125</v>
      </c>
      <c r="C80" s="127"/>
      <c r="D80" s="127"/>
      <c r="E80" s="127"/>
      <c r="F80" s="127"/>
      <c r="G80" s="127"/>
      <c r="H80" s="127"/>
    </row>
    <row r="81" spans="1:8">
      <c r="A81" s="330" t="s">
        <v>54</v>
      </c>
      <c r="B81" s="339">
        <v>1980.48742675781</v>
      </c>
      <c r="C81" s="127"/>
      <c r="D81" s="127"/>
      <c r="E81" s="127"/>
      <c r="F81" s="127"/>
      <c r="G81" s="127"/>
      <c r="H81" s="127"/>
    </row>
    <row r="82" spans="1:8">
      <c r="A82" s="330" t="s">
        <v>113</v>
      </c>
      <c r="B82" s="339">
        <v>7779.65625</v>
      </c>
      <c r="C82" s="127"/>
      <c r="D82" s="127"/>
      <c r="E82" s="127"/>
      <c r="F82" s="127"/>
      <c r="G82" s="127"/>
      <c r="H82" s="127"/>
    </row>
    <row r="83" spans="1:8">
      <c r="A83" s="330" t="s">
        <v>114</v>
      </c>
      <c r="B83" s="339">
        <v>3055.94018554687</v>
      </c>
      <c r="C83" s="127"/>
      <c r="D83" s="127"/>
      <c r="E83" s="127"/>
      <c r="F83" s="127"/>
      <c r="G83" s="127"/>
      <c r="H83" s="127"/>
    </row>
    <row r="84" spans="1:8">
      <c r="A84" s="330" t="s">
        <v>115</v>
      </c>
      <c r="B84" s="339">
        <v>328.55773925781199</v>
      </c>
      <c r="C84" s="127"/>
      <c r="D84" s="127"/>
      <c r="E84" s="127"/>
      <c r="F84" s="127"/>
      <c r="G84" s="127"/>
      <c r="H84" s="127"/>
    </row>
    <row r="85" spans="1:8">
      <c r="A85" s="330" t="s">
        <v>116</v>
      </c>
      <c r="B85" s="339">
        <v>938.27874755859398</v>
      </c>
      <c r="C85" s="127"/>
      <c r="D85" s="127"/>
      <c r="E85" s="127"/>
      <c r="F85" s="127"/>
      <c r="G85" s="127"/>
      <c r="H85" s="127"/>
    </row>
    <row r="86" spans="1:8">
      <c r="A86" s="330" t="s">
        <v>117</v>
      </c>
      <c r="B86" s="339">
        <v>948.02130126953102</v>
      </c>
      <c r="C86" s="127"/>
      <c r="D86" s="127"/>
      <c r="E86" s="127"/>
      <c r="F86" s="127"/>
      <c r="G86" s="127"/>
      <c r="H86" s="127"/>
    </row>
    <row r="87" spans="1:8">
      <c r="A87" s="330" t="s">
        <v>62</v>
      </c>
      <c r="B87" s="339">
        <v>498.31063842773398</v>
      </c>
      <c r="C87" s="127"/>
      <c r="D87" s="127"/>
      <c r="E87" s="127"/>
      <c r="F87" s="127"/>
      <c r="G87" s="127"/>
      <c r="H87" s="127"/>
    </row>
    <row r="88" spans="1:8">
      <c r="A88" s="330" t="s">
        <v>64</v>
      </c>
      <c r="B88" s="339">
        <v>1771.48937988281</v>
      </c>
      <c r="C88" s="127"/>
      <c r="D88" s="127"/>
      <c r="E88" s="127"/>
      <c r="F88" s="127"/>
      <c r="G88" s="127"/>
      <c r="H88" s="127"/>
    </row>
    <row r="89" spans="1:8">
      <c r="A89" s="330" t="s">
        <v>55</v>
      </c>
      <c r="B89" s="339">
        <v>910.64117431640602</v>
      </c>
      <c r="C89" s="127"/>
      <c r="D89" s="127"/>
      <c r="E89" s="127"/>
      <c r="F89" s="127"/>
      <c r="G89" s="127"/>
      <c r="H89" s="127"/>
    </row>
    <row r="90" spans="1:8">
      <c r="A90" s="330" t="s">
        <v>189</v>
      </c>
      <c r="B90" s="339">
        <v>2552.38110351562</v>
      </c>
      <c r="C90" s="127"/>
      <c r="D90" s="127"/>
      <c r="E90" s="127"/>
      <c r="F90" s="127"/>
      <c r="G90" s="127"/>
      <c r="H90" s="127"/>
    </row>
    <row r="91" spans="1:8">
      <c r="A91" s="330" t="s">
        <v>118</v>
      </c>
      <c r="B91" s="339">
        <v>2889.8486328125</v>
      </c>
      <c r="C91" s="127"/>
      <c r="D91" s="127"/>
      <c r="E91" s="127"/>
      <c r="F91" s="127"/>
      <c r="G91" s="127"/>
      <c r="H91" s="127"/>
    </row>
    <row r="92" spans="1:8">
      <c r="A92" s="330" t="s">
        <v>57</v>
      </c>
      <c r="B92" s="339">
        <v>4829.2626953125</v>
      </c>
      <c r="C92" s="127"/>
      <c r="D92" s="127"/>
      <c r="E92" s="127"/>
      <c r="F92" s="127"/>
      <c r="G92" s="127"/>
      <c r="H92" s="127"/>
    </row>
    <row r="93" spans="1:8">
      <c r="A93" s="330" t="s">
        <v>58</v>
      </c>
      <c r="B93" s="339">
        <v>2187.24438476562</v>
      </c>
      <c r="C93" s="127"/>
      <c r="D93" s="127"/>
      <c r="E93" s="127"/>
      <c r="F93" s="127"/>
      <c r="G93" s="127"/>
      <c r="H93" s="127"/>
    </row>
    <row r="94" spans="1:8">
      <c r="A94" s="330" t="s">
        <v>59</v>
      </c>
      <c r="B94" s="339">
        <v>639.43591308593705</v>
      </c>
      <c r="C94" s="127"/>
      <c r="D94" s="127"/>
      <c r="E94" s="127"/>
      <c r="F94" s="127"/>
      <c r="G94" s="127"/>
      <c r="H94" s="127"/>
    </row>
    <row r="95" spans="1:8">
      <c r="A95" s="330" t="s">
        <v>119</v>
      </c>
      <c r="B95" s="339">
        <v>354.84515380859398</v>
      </c>
      <c r="C95" s="127"/>
      <c r="D95" s="127"/>
      <c r="E95" s="127"/>
      <c r="F95" s="127"/>
      <c r="G95" s="127"/>
      <c r="H95" s="127"/>
    </row>
    <row r="96" spans="1:8">
      <c r="A96" s="330" t="s">
        <v>63</v>
      </c>
      <c r="B96" s="339">
        <v>1255.94091796875</v>
      </c>
      <c r="C96" s="127"/>
      <c r="D96" s="127"/>
      <c r="E96" s="127"/>
      <c r="F96" s="127"/>
      <c r="G96" s="127"/>
      <c r="H96" s="127"/>
    </row>
    <row r="97" spans="1:8">
      <c r="A97" s="330" t="s">
        <v>65</v>
      </c>
      <c r="B97" s="339">
        <v>2312.87573242188</v>
      </c>
      <c r="C97" s="127"/>
      <c r="D97" s="127"/>
      <c r="E97" s="127"/>
      <c r="F97" s="127"/>
      <c r="G97" s="127"/>
      <c r="H97" s="127"/>
    </row>
    <row r="98" spans="1:8">
      <c r="A98" s="330" t="s">
        <v>120</v>
      </c>
      <c r="B98" s="339">
        <v>576.31787109375</v>
      </c>
      <c r="C98" s="127"/>
      <c r="D98" s="127"/>
      <c r="E98" s="127"/>
      <c r="F98" s="127"/>
      <c r="G98" s="127"/>
      <c r="H98" s="127"/>
    </row>
    <row r="99" spans="1:8">
      <c r="A99" s="330" t="s">
        <v>66</v>
      </c>
      <c r="B99" s="339">
        <v>3013.01513671875</v>
      </c>
      <c r="C99" s="127"/>
      <c r="D99" s="127"/>
      <c r="E99" s="127"/>
      <c r="F99" s="127"/>
      <c r="G99" s="127"/>
      <c r="H99" s="127"/>
    </row>
    <row r="100" spans="1:8">
      <c r="A100" s="330" t="s">
        <v>67</v>
      </c>
      <c r="B100" s="339">
        <v>1944.93676757813</v>
      </c>
      <c r="C100" s="127"/>
      <c r="D100" s="127"/>
      <c r="E100" s="127"/>
      <c r="F100" s="127"/>
      <c r="G100" s="127"/>
      <c r="H100" s="127"/>
    </row>
    <row r="101" spans="1:8">
      <c r="A101" s="330" t="s">
        <v>121</v>
      </c>
      <c r="B101" s="339">
        <v>61.039070129394503</v>
      </c>
      <c r="C101" s="127"/>
      <c r="D101" s="127"/>
      <c r="E101" s="127"/>
      <c r="F101" s="127"/>
      <c r="G101" s="127"/>
      <c r="H101" s="127"/>
    </row>
    <row r="102" spans="1:8">
      <c r="A102" s="330" t="s">
        <v>122</v>
      </c>
      <c r="B102" s="339">
        <v>1214.89306640625</v>
      </c>
      <c r="C102" s="127"/>
      <c r="D102" s="127"/>
      <c r="E102" s="127"/>
      <c r="F102" s="127"/>
      <c r="G102" s="127"/>
      <c r="H102" s="127"/>
    </row>
    <row r="103" spans="1:8">
      <c r="A103" s="330" t="s">
        <v>123</v>
      </c>
      <c r="B103" s="339">
        <v>315.68597412109398</v>
      </c>
      <c r="C103" s="127"/>
      <c r="D103" s="127"/>
      <c r="E103" s="127"/>
      <c r="F103" s="127"/>
      <c r="G103" s="127"/>
      <c r="H103" s="127"/>
    </row>
    <row r="104" spans="1:8">
      <c r="A104" s="330" t="s">
        <v>190</v>
      </c>
      <c r="B104" s="339">
        <v>283.53421020507801</v>
      </c>
      <c r="C104" s="127"/>
      <c r="D104" s="127"/>
      <c r="E104" s="127"/>
      <c r="F104" s="127"/>
      <c r="G104" s="127"/>
      <c r="H104" s="127"/>
    </row>
    <row r="105" spans="1:8">
      <c r="A105" s="330" t="s">
        <v>124</v>
      </c>
      <c r="B105" s="339">
        <v>408.22961425781301</v>
      </c>
      <c r="C105" s="127"/>
      <c r="D105" s="127"/>
      <c r="E105" s="127"/>
      <c r="F105" s="127"/>
      <c r="G105" s="127"/>
      <c r="H105" s="127"/>
    </row>
    <row r="106" spans="1:8">
      <c r="A106" s="330" t="s">
        <v>125</v>
      </c>
      <c r="B106" s="339">
        <v>745.39697265625</v>
      </c>
      <c r="C106" s="127"/>
      <c r="D106" s="127"/>
      <c r="E106" s="127"/>
      <c r="F106" s="127"/>
      <c r="G106" s="127"/>
      <c r="H106" s="127"/>
    </row>
    <row r="107" spans="1:8">
      <c r="A107" s="330" t="s">
        <v>126</v>
      </c>
      <c r="B107" s="339">
        <v>568.22113037109398</v>
      </c>
      <c r="C107" s="127"/>
      <c r="D107" s="127"/>
      <c r="E107" s="127"/>
      <c r="F107" s="127"/>
      <c r="G107" s="127"/>
      <c r="H107" s="127"/>
    </row>
    <row r="108" spans="1:8">
      <c r="A108" s="330" t="s">
        <v>127</v>
      </c>
      <c r="B108" s="339">
        <v>505.52346801757801</v>
      </c>
      <c r="C108" s="127"/>
      <c r="D108" s="127"/>
      <c r="E108" s="127"/>
      <c r="F108" s="127"/>
      <c r="G108" s="127"/>
      <c r="H108" s="127"/>
    </row>
    <row r="109" spans="1:8">
      <c r="A109" s="330" t="s">
        <v>128</v>
      </c>
      <c r="B109" s="339">
        <v>742.73114013671898</v>
      </c>
      <c r="C109" s="127"/>
      <c r="D109" s="127"/>
      <c r="E109" s="127"/>
      <c r="F109" s="127"/>
      <c r="G109" s="127"/>
      <c r="H109" s="127"/>
    </row>
    <row r="110" spans="1:8">
      <c r="A110" s="330" t="s">
        <v>129</v>
      </c>
      <c r="B110" s="339">
        <v>318.62121582031199</v>
      </c>
      <c r="C110" s="127"/>
      <c r="D110" s="127"/>
      <c r="E110" s="127"/>
      <c r="F110" s="127"/>
      <c r="G110" s="127"/>
      <c r="H110" s="127"/>
    </row>
    <row r="111" spans="1:8">
      <c r="A111" s="330" t="s">
        <v>130</v>
      </c>
      <c r="B111" s="339">
        <v>276.62594604492199</v>
      </c>
      <c r="C111" s="127"/>
      <c r="D111" s="127"/>
      <c r="E111" s="127"/>
      <c r="F111" s="127"/>
      <c r="G111" s="127"/>
      <c r="H111" s="127"/>
    </row>
    <row r="112" spans="1:8">
      <c r="A112" s="330" t="s">
        <v>131</v>
      </c>
      <c r="B112" s="339">
        <v>350.20291137695301</v>
      </c>
      <c r="C112" s="127"/>
      <c r="D112" s="127"/>
      <c r="E112" s="127"/>
      <c r="F112" s="127"/>
      <c r="G112" s="127"/>
      <c r="H112" s="127"/>
    </row>
    <row r="113" spans="1:8">
      <c r="A113" s="330" t="s">
        <v>132</v>
      </c>
      <c r="B113" s="339">
        <v>668.23376464843795</v>
      </c>
      <c r="C113" s="127"/>
      <c r="D113" s="127"/>
      <c r="E113" s="127"/>
      <c r="F113" s="127"/>
      <c r="G113" s="127"/>
      <c r="H113" s="127"/>
    </row>
    <row r="114" spans="1:8">
      <c r="A114" s="330" t="s">
        <v>68</v>
      </c>
      <c r="B114" s="339">
        <v>1068.1220703125</v>
      </c>
      <c r="C114" s="127"/>
      <c r="D114" s="127"/>
      <c r="E114" s="127"/>
      <c r="F114" s="127"/>
      <c r="G114" s="127"/>
      <c r="H114" s="127"/>
    </row>
    <row r="115" spans="1:8">
      <c r="A115" s="330" t="s">
        <v>69</v>
      </c>
      <c r="B115" s="339">
        <v>2228.89721679687</v>
      </c>
      <c r="C115" s="127"/>
      <c r="D115" s="127"/>
      <c r="E115" s="127"/>
      <c r="F115" s="127"/>
      <c r="G115" s="127"/>
      <c r="H115" s="127"/>
    </row>
    <row r="116" spans="1:8">
      <c r="A116" s="330" t="s">
        <v>70</v>
      </c>
      <c r="B116" s="339">
        <v>1270.26147460938</v>
      </c>
      <c r="C116" s="127"/>
      <c r="D116" s="127"/>
      <c r="E116" s="127"/>
      <c r="F116" s="127"/>
      <c r="G116" s="127"/>
      <c r="H116" s="127"/>
    </row>
    <row r="117" spans="1:8">
      <c r="A117" s="330" t="s">
        <v>71</v>
      </c>
      <c r="B117" s="339">
        <v>4417.9140625</v>
      </c>
      <c r="C117" s="127"/>
      <c r="D117" s="127"/>
      <c r="E117" s="127"/>
      <c r="F117" s="127"/>
      <c r="G117" s="127"/>
      <c r="H117" s="127"/>
    </row>
    <row r="118" spans="1:8">
      <c r="A118" s="330" t="s">
        <v>133</v>
      </c>
      <c r="B118" s="339">
        <v>1694.73620605469</v>
      </c>
      <c r="C118" s="127"/>
      <c r="D118" s="127"/>
      <c r="E118" s="127"/>
      <c r="F118" s="127"/>
      <c r="G118" s="127"/>
      <c r="H118" s="127"/>
    </row>
    <row r="119" spans="1:8">
      <c r="A119" s="330" t="s">
        <v>134</v>
      </c>
      <c r="B119" s="339">
        <v>967.09802246093795</v>
      </c>
      <c r="C119" s="127"/>
      <c r="D119" s="127"/>
      <c r="E119" s="127"/>
      <c r="F119" s="127"/>
      <c r="G119" s="127"/>
      <c r="H119" s="127"/>
    </row>
    <row r="120" spans="1:8">
      <c r="A120" s="330" t="s">
        <v>135</v>
      </c>
      <c r="B120" s="339">
        <v>790.70379638671898</v>
      </c>
      <c r="C120" s="127"/>
      <c r="D120" s="127"/>
      <c r="E120" s="127"/>
      <c r="F120" s="127"/>
      <c r="G120" s="127"/>
      <c r="H120" s="127"/>
    </row>
    <row r="121" spans="1:8">
      <c r="A121" s="330" t="s">
        <v>72</v>
      </c>
      <c r="B121" s="339">
        <v>1574.26879882813</v>
      </c>
      <c r="C121" s="127"/>
      <c r="D121" s="127"/>
      <c r="E121" s="127"/>
      <c r="F121" s="127"/>
      <c r="G121" s="127"/>
      <c r="H121" s="127"/>
    </row>
    <row r="122" spans="1:8">
      <c r="A122" s="330" t="s">
        <v>136</v>
      </c>
      <c r="B122" s="339">
        <v>1460.27795410156</v>
      </c>
      <c r="C122" s="127"/>
      <c r="D122" s="127"/>
      <c r="E122" s="127"/>
      <c r="F122" s="127"/>
      <c r="G122" s="127"/>
      <c r="H122" s="127"/>
    </row>
    <row r="123" spans="1:8">
      <c r="A123" s="330" t="s">
        <v>191</v>
      </c>
      <c r="B123" s="339">
        <v>2079.02758789062</v>
      </c>
      <c r="C123" s="127"/>
      <c r="D123" s="127"/>
      <c r="E123" s="127"/>
      <c r="F123" s="127"/>
      <c r="G123" s="127"/>
      <c r="H123" s="127"/>
    </row>
    <row r="124" spans="1:8">
      <c r="A124" s="330" t="s">
        <v>74</v>
      </c>
      <c r="B124" s="339">
        <v>1541.37097167969</v>
      </c>
      <c r="C124" s="127"/>
      <c r="D124" s="127"/>
      <c r="E124" s="127"/>
      <c r="F124" s="127"/>
      <c r="G124" s="127"/>
      <c r="H124" s="127"/>
    </row>
    <row r="125" spans="1:8">
      <c r="A125" s="330" t="s">
        <v>137</v>
      </c>
      <c r="B125" s="339">
        <v>426.95135498046898</v>
      </c>
      <c r="C125" s="127"/>
      <c r="D125" s="127"/>
      <c r="E125" s="127"/>
      <c r="F125" s="127"/>
      <c r="G125" s="127"/>
      <c r="H125" s="127"/>
    </row>
    <row r="126" spans="1:8">
      <c r="A126" s="330" t="s">
        <v>138</v>
      </c>
      <c r="B126" s="339">
        <v>2306.31201171875</v>
      </c>
      <c r="C126" s="127"/>
      <c r="D126" s="127"/>
      <c r="E126" s="127"/>
      <c r="F126" s="127"/>
      <c r="G126" s="127"/>
      <c r="H126" s="127"/>
    </row>
    <row r="127" spans="1:8">
      <c r="A127" s="330" t="s">
        <v>322</v>
      </c>
      <c r="B127" s="339">
        <v>4602.33056640625</v>
      </c>
      <c r="C127" s="127"/>
      <c r="D127" s="127"/>
      <c r="E127" s="127"/>
      <c r="F127" s="127"/>
      <c r="G127" s="127"/>
      <c r="H127" s="127"/>
    </row>
    <row r="128" spans="1:8">
      <c r="A128" s="330" t="s">
        <v>186</v>
      </c>
      <c r="B128" s="339">
        <v>2252.81079101563</v>
      </c>
      <c r="C128" s="127"/>
      <c r="D128" s="127"/>
      <c r="E128" s="127"/>
      <c r="F128" s="127"/>
      <c r="G128" s="127"/>
      <c r="H128" s="127"/>
    </row>
    <row r="129" spans="1:8">
      <c r="A129" s="330" t="s">
        <v>139</v>
      </c>
      <c r="B129" s="339">
        <v>1542.09094238281</v>
      </c>
      <c r="C129" s="127"/>
      <c r="D129" s="127"/>
      <c r="E129" s="127"/>
      <c r="F129" s="127"/>
      <c r="G129" s="127"/>
      <c r="H129" s="127"/>
    </row>
    <row r="130" spans="1:8">
      <c r="A130" s="330" t="s">
        <v>323</v>
      </c>
      <c r="B130" s="339">
        <v>2306.57763671875</v>
      </c>
      <c r="C130" s="127"/>
      <c r="D130" s="127"/>
      <c r="E130" s="127"/>
      <c r="F130" s="127"/>
      <c r="G130" s="127"/>
      <c r="H130" s="127"/>
    </row>
    <row r="131" spans="1:8">
      <c r="A131" s="330" t="s">
        <v>140</v>
      </c>
      <c r="B131" s="339">
        <v>823.40960693359398</v>
      </c>
      <c r="C131" s="127"/>
      <c r="D131" s="127"/>
      <c r="E131" s="127"/>
      <c r="F131" s="127"/>
      <c r="G131" s="127"/>
      <c r="H131" s="127"/>
    </row>
    <row r="132" spans="1:8">
      <c r="A132" s="330" t="s">
        <v>73</v>
      </c>
      <c r="B132" s="339">
        <v>677.18585205078102</v>
      </c>
      <c r="C132" s="127"/>
      <c r="D132" s="127"/>
      <c r="E132" s="127"/>
      <c r="F132" s="127"/>
      <c r="G132" s="127"/>
      <c r="H132" s="127"/>
    </row>
    <row r="133" spans="1:8">
      <c r="A133" s="330" t="s">
        <v>141</v>
      </c>
      <c r="B133" s="339">
        <v>678.41418457031295</v>
      </c>
      <c r="C133" s="127"/>
      <c r="D133" s="127"/>
      <c r="E133" s="127"/>
      <c r="F133" s="127"/>
      <c r="G133" s="127"/>
      <c r="H133" s="127"/>
    </row>
    <row r="134" spans="1:8">
      <c r="A134" s="330" t="s">
        <v>142</v>
      </c>
      <c r="B134" s="339">
        <v>1210.84619140625</v>
      </c>
      <c r="C134" s="127"/>
      <c r="D134" s="127"/>
      <c r="E134" s="127"/>
      <c r="F134" s="127"/>
      <c r="G134" s="127"/>
      <c r="H134" s="127"/>
    </row>
    <row r="135" spans="1:8">
      <c r="A135" s="330" t="s">
        <v>143</v>
      </c>
      <c r="B135" s="339">
        <v>2270.7529296875</v>
      </c>
      <c r="C135" s="127"/>
      <c r="D135" s="127"/>
      <c r="E135" s="127"/>
      <c r="F135" s="127"/>
      <c r="G135" s="127"/>
      <c r="H135" s="127"/>
    </row>
    <row r="136" spans="1:8">
      <c r="A136" s="330" t="s">
        <v>144</v>
      </c>
      <c r="B136" s="339">
        <v>1212.54760742188</v>
      </c>
      <c r="C136" s="127"/>
      <c r="D136" s="127"/>
      <c r="E136" s="127"/>
      <c r="F136" s="127"/>
      <c r="G136" s="127"/>
      <c r="H136" s="127"/>
    </row>
    <row r="137" spans="1:8">
      <c r="A137" s="330" t="s">
        <v>145</v>
      </c>
      <c r="B137" s="339">
        <v>525.52966308593795</v>
      </c>
      <c r="C137" s="127"/>
      <c r="D137" s="127"/>
      <c r="E137" s="127"/>
      <c r="F137" s="127"/>
      <c r="G137" s="127"/>
      <c r="H137" s="127"/>
    </row>
    <row r="138" spans="1:8">
      <c r="A138" s="330" t="s">
        <v>146</v>
      </c>
      <c r="B138" s="339">
        <v>354.59371948242199</v>
      </c>
      <c r="C138" s="127"/>
      <c r="D138" s="127"/>
      <c r="E138" s="127"/>
      <c r="F138" s="127"/>
      <c r="G138" s="127"/>
      <c r="H138" s="127"/>
    </row>
    <row r="139" spans="1:8">
      <c r="A139" s="330" t="s">
        <v>147</v>
      </c>
      <c r="B139" s="339">
        <v>595.61145019531295</v>
      </c>
      <c r="C139" s="127"/>
      <c r="D139" s="127"/>
      <c r="E139" s="127"/>
      <c r="F139" s="127"/>
      <c r="G139" s="127"/>
      <c r="H139" s="127"/>
    </row>
    <row r="140" spans="1:8">
      <c r="A140" s="330" t="s">
        <v>76</v>
      </c>
      <c r="B140" s="339">
        <v>5936.435546875</v>
      </c>
      <c r="C140" s="127"/>
      <c r="D140" s="127"/>
      <c r="E140" s="127"/>
      <c r="F140" s="127"/>
      <c r="G140" s="127"/>
      <c r="H140" s="127"/>
    </row>
    <row r="141" spans="1:8">
      <c r="A141" s="330" t="s">
        <v>148</v>
      </c>
      <c r="B141" s="339">
        <v>522.51086425781205</v>
      </c>
      <c r="C141" s="127"/>
      <c r="D141" s="127"/>
      <c r="E141" s="127"/>
      <c r="F141" s="127"/>
      <c r="G141" s="127"/>
      <c r="H141" s="127"/>
    </row>
    <row r="142" spans="1:8">
      <c r="A142" s="330" t="s">
        <v>149</v>
      </c>
      <c r="B142" s="339">
        <v>193.76824951171901</v>
      </c>
      <c r="C142" s="127"/>
      <c r="D142" s="127"/>
      <c r="E142" s="127"/>
      <c r="F142" s="127"/>
      <c r="G142" s="127"/>
      <c r="H142" s="127"/>
    </row>
    <row r="143" spans="1:8">
      <c r="A143" s="330" t="s">
        <v>187</v>
      </c>
      <c r="B143" s="339">
        <v>1140.24365234375</v>
      </c>
      <c r="C143" s="127"/>
      <c r="D143" s="127"/>
      <c r="E143" s="127"/>
      <c r="F143" s="127"/>
      <c r="G143" s="127"/>
      <c r="H143" s="127"/>
    </row>
    <row r="144" spans="1:8">
      <c r="A144" s="330" t="s">
        <v>78</v>
      </c>
      <c r="B144" s="339">
        <v>920.87298583984398</v>
      </c>
      <c r="C144" s="127"/>
      <c r="D144" s="127"/>
      <c r="E144" s="127"/>
      <c r="F144" s="127"/>
      <c r="G144" s="127"/>
      <c r="H144" s="127"/>
    </row>
    <row r="145" spans="1:8">
      <c r="A145" s="330" t="s">
        <v>192</v>
      </c>
      <c r="B145" s="339">
        <v>191.49473571777301</v>
      </c>
      <c r="C145" s="127"/>
      <c r="D145" s="127"/>
      <c r="E145" s="127"/>
      <c r="F145" s="127"/>
      <c r="G145" s="127"/>
      <c r="H145" s="127"/>
    </row>
    <row r="146" spans="1:8">
      <c r="A146" s="330" t="s">
        <v>150</v>
      </c>
      <c r="B146" s="339">
        <v>478.24008178710898</v>
      </c>
      <c r="C146" s="127"/>
      <c r="D146" s="127"/>
      <c r="E146" s="127"/>
      <c r="F146" s="127"/>
      <c r="G146" s="127"/>
      <c r="H146" s="127"/>
    </row>
    <row r="147" spans="1:8">
      <c r="A147" s="330" t="s">
        <v>151</v>
      </c>
      <c r="B147" s="339">
        <v>617.88024902343795</v>
      </c>
      <c r="C147" s="127"/>
      <c r="D147" s="127"/>
      <c r="E147" s="127"/>
      <c r="F147" s="127"/>
      <c r="G147" s="127"/>
      <c r="H147" s="127"/>
    </row>
    <row r="148" spans="1:8">
      <c r="A148" s="330" t="s">
        <v>80</v>
      </c>
      <c r="B148" s="339">
        <v>1185.98962402344</v>
      </c>
      <c r="C148" s="127"/>
      <c r="D148" s="127"/>
      <c r="E148" s="127"/>
      <c r="F148" s="127"/>
      <c r="G148" s="127"/>
      <c r="H148" s="127"/>
    </row>
    <row r="149" spans="1:8">
      <c r="A149" s="330" t="s">
        <v>193</v>
      </c>
      <c r="B149" s="339">
        <v>207.22351074218699</v>
      </c>
      <c r="C149" s="127"/>
      <c r="D149" s="127"/>
      <c r="E149" s="127"/>
      <c r="F149" s="127"/>
      <c r="G149" s="127"/>
      <c r="H149" s="127"/>
    </row>
    <row r="150" spans="1:8">
      <c r="A150" s="330" t="s">
        <v>152</v>
      </c>
      <c r="B150" s="339">
        <v>906.67803955078102</v>
      </c>
      <c r="C150" s="127"/>
      <c r="D150" s="127"/>
      <c r="E150" s="127"/>
      <c r="F150" s="127"/>
      <c r="G150" s="127"/>
      <c r="H150" s="127"/>
    </row>
    <row r="151" spans="1:8">
      <c r="A151" s="330" t="s">
        <v>83</v>
      </c>
      <c r="B151" s="339">
        <v>672.04675292968795</v>
      </c>
      <c r="C151" s="127"/>
      <c r="D151" s="127"/>
      <c r="E151" s="127"/>
      <c r="F151" s="127"/>
      <c r="G151" s="127"/>
      <c r="H151" s="127"/>
    </row>
    <row r="152" spans="1:8">
      <c r="A152" s="330" t="s">
        <v>153</v>
      </c>
      <c r="B152" s="339">
        <v>8340.267578125</v>
      </c>
      <c r="C152" s="127"/>
      <c r="D152" s="127"/>
      <c r="E152" s="127"/>
      <c r="F152" s="127"/>
      <c r="G152" s="127"/>
      <c r="H152" s="127"/>
    </row>
    <row r="153" spans="1:8">
      <c r="A153" s="330" t="s">
        <v>81</v>
      </c>
      <c r="B153" s="339">
        <v>1899.41174316406</v>
      </c>
      <c r="C153" s="127"/>
      <c r="D153" s="127"/>
      <c r="E153" s="127"/>
      <c r="F153" s="127"/>
      <c r="G153" s="127"/>
      <c r="H153" s="127"/>
    </row>
    <row r="154" spans="1:8">
      <c r="A154" s="330" t="s">
        <v>82</v>
      </c>
      <c r="B154" s="339">
        <v>845.79693603515602</v>
      </c>
      <c r="C154" s="127"/>
      <c r="D154" s="127"/>
      <c r="E154" s="127"/>
      <c r="F154" s="127"/>
      <c r="G154" s="127"/>
      <c r="H154" s="127"/>
    </row>
    <row r="155" spans="1:8">
      <c r="A155" s="330" t="s">
        <v>154</v>
      </c>
      <c r="B155" s="339">
        <v>1296.69458007813</v>
      </c>
      <c r="C155" s="127"/>
      <c r="D155" s="127"/>
      <c r="E155" s="127"/>
      <c r="F155" s="127"/>
      <c r="G155" s="127"/>
      <c r="H155" s="127"/>
    </row>
    <row r="156" spans="1:8">
      <c r="A156" s="330" t="s">
        <v>155</v>
      </c>
      <c r="B156" s="339">
        <v>267.420166015625</v>
      </c>
      <c r="C156" s="127"/>
      <c r="D156" s="127"/>
      <c r="E156" s="127"/>
      <c r="F156" s="127"/>
      <c r="G156" s="127"/>
      <c r="H156" s="127"/>
    </row>
    <row r="157" spans="1:8">
      <c r="A157" s="330" t="s">
        <v>156</v>
      </c>
      <c r="B157" s="339">
        <v>726.92132568359398</v>
      </c>
      <c r="C157" s="127"/>
      <c r="D157" s="127"/>
      <c r="E157" s="127"/>
      <c r="F157" s="127"/>
      <c r="G157" s="127"/>
      <c r="H157" s="127"/>
    </row>
    <row r="158" spans="1:8">
      <c r="A158" s="330" t="s">
        <v>188</v>
      </c>
      <c r="B158" s="339">
        <v>1566.80297851563</v>
      </c>
      <c r="C158" s="127"/>
      <c r="D158" s="127"/>
      <c r="E158" s="127"/>
      <c r="F158" s="127"/>
      <c r="G158" s="127"/>
      <c r="H158" s="127"/>
    </row>
    <row r="159" spans="1:8">
      <c r="A159" s="330" t="s">
        <v>157</v>
      </c>
      <c r="B159" s="339">
        <v>552.64807128906295</v>
      </c>
      <c r="C159" s="127"/>
      <c r="D159" s="127"/>
      <c r="E159" s="127"/>
      <c r="F159" s="127"/>
      <c r="G159" s="127"/>
      <c r="H159" s="127"/>
    </row>
    <row r="160" spans="1:8">
      <c r="A160" s="330" t="s">
        <v>84</v>
      </c>
      <c r="B160" s="339">
        <v>571.46319580078102</v>
      </c>
      <c r="C160" s="127"/>
      <c r="D160" s="127"/>
      <c r="E160" s="127"/>
      <c r="F160" s="127"/>
      <c r="G160" s="127"/>
      <c r="H160" s="127"/>
    </row>
    <row r="161" spans="1:8">
      <c r="A161" s="330" t="s">
        <v>85</v>
      </c>
      <c r="B161" s="339">
        <v>1498.07653808594</v>
      </c>
      <c r="C161" s="127"/>
      <c r="D161" s="127"/>
      <c r="E161" s="127"/>
      <c r="F161" s="127"/>
      <c r="G161" s="127"/>
      <c r="H161" s="127"/>
    </row>
    <row r="162" spans="1:8">
      <c r="A162" s="330" t="s">
        <v>86</v>
      </c>
      <c r="B162" s="339">
        <v>483.73748779296898</v>
      </c>
      <c r="C162" s="127"/>
      <c r="D162" s="127"/>
      <c r="E162" s="127"/>
      <c r="F162" s="127"/>
      <c r="G162" s="127"/>
      <c r="H162" s="127"/>
    </row>
    <row r="163" spans="1:8">
      <c r="A163" s="330" t="s">
        <v>87</v>
      </c>
      <c r="B163" s="339">
        <v>524.25238037109398</v>
      </c>
      <c r="C163" s="127"/>
      <c r="D163" s="127"/>
      <c r="E163" s="127"/>
      <c r="F163" s="127"/>
      <c r="G163" s="127"/>
      <c r="H163" s="127"/>
    </row>
    <row r="164" spans="1:8">
      <c r="A164" s="330" t="s">
        <v>88</v>
      </c>
      <c r="B164" s="339">
        <v>91.199607849121094</v>
      </c>
      <c r="C164" s="127"/>
      <c r="D164" s="127"/>
      <c r="E164" s="127"/>
      <c r="F164" s="127"/>
      <c r="G164" s="127"/>
      <c r="H164" s="127"/>
    </row>
    <row r="165" spans="1:8">
      <c r="A165" s="330" t="s">
        <v>89</v>
      </c>
      <c r="B165" s="339">
        <v>453.02847290039102</v>
      </c>
      <c r="C165" s="127"/>
      <c r="D165" s="127"/>
      <c r="E165" s="127"/>
      <c r="F165" s="127"/>
      <c r="G165" s="127"/>
      <c r="H165" s="127"/>
    </row>
    <row r="166" spans="1:8">
      <c r="A166" s="330" t="s">
        <v>90</v>
      </c>
      <c r="B166" s="339">
        <v>1845.39318847656</v>
      </c>
      <c r="C166" s="127"/>
      <c r="D166" s="127"/>
      <c r="E166" s="127"/>
      <c r="F166" s="127"/>
      <c r="G166" s="127"/>
      <c r="H166" s="127"/>
    </row>
    <row r="167" spans="1:8">
      <c r="A167" s="330" t="s">
        <v>324</v>
      </c>
      <c r="B167" s="339">
        <v>1384.22802734375</v>
      </c>
      <c r="C167" s="127"/>
      <c r="D167" s="127"/>
      <c r="E167" s="127"/>
      <c r="F167" s="127"/>
      <c r="G167" s="127"/>
      <c r="H167" s="127"/>
    </row>
    <row r="168" spans="1:8">
      <c r="A168" s="330" t="s">
        <v>325</v>
      </c>
      <c r="B168" s="339">
        <v>-327.66476440429699</v>
      </c>
      <c r="C168" s="127"/>
      <c r="D168" s="127"/>
      <c r="E168" s="127"/>
      <c r="F168" s="127"/>
      <c r="G168" s="127"/>
      <c r="H168" s="127"/>
    </row>
    <row r="169" spans="1:8">
      <c r="A169" s="330" t="s">
        <v>326</v>
      </c>
      <c r="B169" s="339">
        <v>19.883337020873999</v>
      </c>
      <c r="C169" s="127"/>
      <c r="D169" s="127"/>
      <c r="E169" s="127"/>
      <c r="F169" s="127"/>
      <c r="G169" s="127"/>
      <c r="H169" s="127"/>
    </row>
    <row r="170" spans="1:8">
      <c r="A170" s="330" t="s">
        <v>194</v>
      </c>
      <c r="B170" s="339">
        <v>5462.681640625</v>
      </c>
      <c r="C170" s="127"/>
      <c r="D170" s="127"/>
      <c r="E170" s="127"/>
      <c r="F170" s="127"/>
      <c r="G170" s="127"/>
      <c r="H170" s="127"/>
    </row>
    <row r="171" spans="1:8">
      <c r="A171" s="330" t="s">
        <v>91</v>
      </c>
      <c r="B171" s="339">
        <v>3099.94311523437</v>
      </c>
      <c r="C171" s="127"/>
      <c r="D171" s="127"/>
      <c r="E171" s="127"/>
      <c r="F171" s="127"/>
      <c r="G171" s="127"/>
      <c r="H171" s="127"/>
    </row>
    <row r="172" spans="1:8">
      <c r="A172" s="330" t="s">
        <v>93</v>
      </c>
      <c r="B172" s="339">
        <v>530.00250244140602</v>
      </c>
      <c r="C172" s="127"/>
      <c r="D172" s="127"/>
      <c r="E172" s="127"/>
      <c r="F172" s="127"/>
      <c r="G172" s="127"/>
      <c r="H172" s="127"/>
    </row>
    <row r="173" spans="1:8">
      <c r="A173" s="330" t="s">
        <v>95</v>
      </c>
      <c r="B173" s="339">
        <v>-368.904296875</v>
      </c>
      <c r="C173" s="127"/>
      <c r="D173" s="127"/>
      <c r="E173" s="127"/>
      <c r="F173" s="127"/>
      <c r="G173" s="127"/>
      <c r="H173" s="127"/>
    </row>
    <row r="174" spans="1:8">
      <c r="A174" s="330" t="s">
        <v>97</v>
      </c>
      <c r="B174" s="339">
        <v>280.39630126953102</v>
      </c>
      <c r="C174" s="127"/>
      <c r="D174" s="127"/>
      <c r="E174" s="127"/>
      <c r="F174" s="127"/>
      <c r="G174" s="127"/>
      <c r="H174" s="127"/>
    </row>
    <row r="175" spans="1:8">
      <c r="A175" s="330" t="s">
        <v>100</v>
      </c>
      <c r="B175" s="339">
        <v>595.21716308593795</v>
      </c>
      <c r="C175" s="127"/>
      <c r="D175" s="127"/>
      <c r="E175" s="127"/>
      <c r="F175" s="127"/>
      <c r="G175" s="127"/>
      <c r="H175" s="127"/>
    </row>
    <row r="176" spans="1:8">
      <c r="A176" s="330" t="s">
        <v>102</v>
      </c>
      <c r="B176" s="339">
        <v>-240.73895263671901</v>
      </c>
      <c r="C176" s="127"/>
      <c r="D176" s="127"/>
      <c r="E176" s="127"/>
      <c r="F176" s="127"/>
      <c r="G176" s="127"/>
      <c r="H176" s="127"/>
    </row>
    <row r="177" spans="1:8">
      <c r="A177" s="330" t="s">
        <v>103</v>
      </c>
      <c r="B177" s="339">
        <v>-112.52561187744099</v>
      </c>
      <c r="C177" s="127"/>
      <c r="D177" s="127"/>
      <c r="E177" s="127"/>
      <c r="F177" s="127"/>
      <c r="G177" s="127"/>
      <c r="H177" s="127"/>
    </row>
    <row r="178" spans="1:8">
      <c r="A178" s="330" t="s">
        <v>105</v>
      </c>
      <c r="B178" s="339">
        <v>-414.08084106445301</v>
      </c>
      <c r="C178" s="127"/>
      <c r="D178" s="127"/>
      <c r="E178" s="127"/>
      <c r="F178" s="127"/>
      <c r="G178" s="127"/>
      <c r="H178" s="127"/>
    </row>
    <row r="179" spans="1:8">
      <c r="A179" s="330" t="s">
        <v>327</v>
      </c>
      <c r="B179" s="339">
        <v>-68.08642578125</v>
      </c>
      <c r="C179" s="127"/>
      <c r="D179" s="127"/>
      <c r="E179" s="127"/>
      <c r="F179" s="127"/>
      <c r="G179" s="127"/>
      <c r="H179" s="127"/>
    </row>
    <row r="180" spans="1:8">
      <c r="A180" s="330" t="s">
        <v>328</v>
      </c>
      <c r="B180" s="339">
        <v>-100.05593109130901</v>
      </c>
      <c r="C180" s="127"/>
      <c r="D180" s="127"/>
      <c r="E180" s="127"/>
      <c r="F180" s="127"/>
      <c r="G180" s="127"/>
      <c r="H180" s="127"/>
    </row>
    <row r="181" spans="1:8">
      <c r="A181" s="330" t="s">
        <v>92</v>
      </c>
      <c r="B181" s="339">
        <v>-111.596382141113</v>
      </c>
      <c r="C181" s="127"/>
      <c r="D181" s="127"/>
      <c r="E181" s="127"/>
      <c r="F181" s="127"/>
      <c r="G181" s="127"/>
      <c r="H181" s="127"/>
    </row>
    <row r="182" spans="1:8">
      <c r="A182" s="330" t="s">
        <v>94</v>
      </c>
      <c r="B182" s="339">
        <v>41.478305816650398</v>
      </c>
      <c r="C182" s="127"/>
      <c r="D182" s="127"/>
      <c r="E182" s="127"/>
      <c r="F182" s="127"/>
      <c r="G182" s="127"/>
      <c r="H182" s="127"/>
    </row>
    <row r="183" spans="1:8">
      <c r="A183" s="330" t="s">
        <v>96</v>
      </c>
      <c r="B183" s="339">
        <v>89.029098510742202</v>
      </c>
      <c r="C183" s="127"/>
      <c r="D183" s="127"/>
      <c r="E183" s="127"/>
      <c r="F183" s="127"/>
      <c r="G183" s="127"/>
      <c r="H183" s="127"/>
    </row>
    <row r="184" spans="1:8">
      <c r="A184" s="330" t="s">
        <v>99</v>
      </c>
      <c r="B184" s="339">
        <v>-108.24895477294901</v>
      </c>
      <c r="C184" s="127"/>
      <c r="D184" s="127"/>
      <c r="E184" s="127"/>
      <c r="F184" s="127"/>
      <c r="G184" s="127"/>
      <c r="H184" s="127"/>
    </row>
    <row r="185" spans="1:8">
      <c r="A185" s="330" t="s">
        <v>111</v>
      </c>
      <c r="B185" s="339">
        <v>92.210166931152401</v>
      </c>
      <c r="C185" s="127"/>
      <c r="D185" s="127"/>
      <c r="E185" s="127"/>
      <c r="F185" s="127"/>
      <c r="G185" s="127"/>
      <c r="H185" s="127"/>
    </row>
    <row r="186" spans="1:8">
      <c r="A186" s="330" t="s">
        <v>329</v>
      </c>
      <c r="B186" s="339">
        <v>-123.857528686523</v>
      </c>
      <c r="C186" s="127"/>
      <c r="D186" s="127"/>
      <c r="E186" s="127"/>
      <c r="F186" s="127"/>
      <c r="G186" s="127"/>
      <c r="H186" s="127"/>
    </row>
    <row r="187" spans="1:8">
      <c r="A187" s="330" t="s">
        <v>330</v>
      </c>
      <c r="B187" s="339">
        <v>747.39099121093705</v>
      </c>
      <c r="C187" s="127"/>
      <c r="D187" s="127"/>
      <c r="E187" s="127"/>
      <c r="F187" s="127"/>
      <c r="G187" s="127"/>
      <c r="H187" s="127"/>
    </row>
    <row r="188" spans="1:8">
      <c r="A188" s="330" t="s">
        <v>331</v>
      </c>
      <c r="B188" s="339">
        <v>1850.21594238281</v>
      </c>
      <c r="C188" s="127"/>
      <c r="D188" s="127"/>
      <c r="E188" s="127"/>
      <c r="F188" s="127"/>
      <c r="G188" s="127"/>
      <c r="H188" s="127"/>
    </row>
    <row r="189" spans="1:8">
      <c r="A189" s="330" t="s">
        <v>332</v>
      </c>
      <c r="B189" s="339">
        <v>3455.95947265625</v>
      </c>
      <c r="C189" s="127"/>
      <c r="D189" s="127"/>
      <c r="E189" s="127"/>
      <c r="F189" s="127"/>
      <c r="G189" s="127"/>
      <c r="H189" s="127"/>
    </row>
    <row r="190" spans="1:8">
      <c r="A190" s="330" t="s">
        <v>333</v>
      </c>
      <c r="B190" s="339">
        <v>-205.26258850097699</v>
      </c>
      <c r="C190" s="127"/>
      <c r="D190" s="127"/>
      <c r="E190" s="127"/>
      <c r="F190" s="127"/>
      <c r="G190" s="127"/>
      <c r="H190" s="127"/>
    </row>
    <row r="191" spans="1:8">
      <c r="A191" s="330" t="s">
        <v>334</v>
      </c>
      <c r="B191" s="339">
        <v>-1.6398773193359399</v>
      </c>
      <c r="C191" s="127"/>
      <c r="D191" s="127"/>
      <c r="E191" s="127"/>
      <c r="F191" s="127"/>
      <c r="G191" s="127"/>
      <c r="H191" s="127"/>
    </row>
    <row r="192" spans="1:8">
      <c r="A192" s="333" t="s">
        <v>335</v>
      </c>
      <c r="B192" s="340">
        <v>5.3953449241816998E-3</v>
      </c>
      <c r="C192" s="127"/>
      <c r="D192" s="128"/>
      <c r="E192" s="128"/>
      <c r="F192" s="127"/>
      <c r="G192" s="128"/>
      <c r="H192" s="128"/>
    </row>
    <row r="193" spans="1:6">
      <c r="A193" s="338" t="s">
        <v>336</v>
      </c>
      <c r="B193" s="341">
        <v>1703.92749023438</v>
      </c>
      <c r="C193" s="128"/>
      <c r="F193" s="128"/>
    </row>
  </sheetData>
  <mergeCells count="1">
    <mergeCell ref="A2:E2"/>
  </mergeCells>
  <pageMargins left="0.7" right="0.7" top="0.75" bottom="0.75" header="0.3" footer="0.3"/>
  <pageSetup paperSize="9" orientation="portrait" r:id="rId1"/>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6564D-E221-4CA7-875A-15846E7DA3D2}">
  <sheetPr>
    <tabColor theme="3"/>
  </sheetPr>
  <dimension ref="A1:AC48"/>
  <sheetViews>
    <sheetView zoomScale="85" zoomScaleNormal="85" workbookViewId="0"/>
  </sheetViews>
  <sheetFormatPr defaultColWidth="9" defaultRowHeight="14"/>
  <cols>
    <col min="1" max="1" width="20.25" style="2" customWidth="1"/>
    <col min="2" max="2" width="23.83203125" style="2" customWidth="1"/>
    <col min="3" max="3" width="21.58203125" style="2" customWidth="1"/>
    <col min="4" max="4" width="25.83203125" style="2" customWidth="1"/>
    <col min="5" max="5" width="24.58203125" style="2" customWidth="1"/>
    <col min="6" max="6" width="22.5" style="2" customWidth="1"/>
    <col min="7" max="8" width="23.25" style="2" customWidth="1"/>
    <col min="9" max="9" width="24.25" style="2" customWidth="1"/>
    <col min="10" max="10" width="23.5" style="2" customWidth="1"/>
    <col min="11" max="11" width="22.08203125" style="2" customWidth="1"/>
    <col min="12" max="12" width="18.5" style="2" customWidth="1"/>
    <col min="13" max="13" width="18.33203125" style="2" customWidth="1"/>
    <col min="14" max="14" width="18.83203125" style="2" customWidth="1"/>
    <col min="15" max="16" width="11.83203125" style="2" customWidth="1"/>
    <col min="17" max="17" width="11.08203125" style="2" customWidth="1"/>
    <col min="18" max="18" width="10.58203125" style="2" customWidth="1"/>
    <col min="19" max="19" width="11" style="2" customWidth="1"/>
    <col min="20" max="20" width="6.08203125" style="2" customWidth="1"/>
    <col min="21" max="21" width="10.5" style="2" customWidth="1"/>
    <col min="22" max="22" width="12.33203125" style="2" bestFit="1" customWidth="1"/>
    <col min="23" max="23" width="11.58203125" style="2" customWidth="1"/>
    <col min="24" max="24" width="9.58203125" style="2" customWidth="1"/>
    <col min="25" max="25" width="6.33203125" style="2" bestFit="1" customWidth="1"/>
    <col min="26" max="26" width="8.58203125" style="2"/>
    <col min="27" max="27" width="14.83203125" style="2" bestFit="1" customWidth="1"/>
    <col min="28" max="28" width="9.83203125" style="2" bestFit="1" customWidth="1"/>
    <col min="29" max="29" width="10.58203125" style="2" bestFit="1" customWidth="1"/>
    <col min="30" max="16384" width="9" style="3"/>
  </cols>
  <sheetData>
    <row r="1" spans="1:29" customFormat="1" ht="20">
      <c r="A1" s="185" t="s">
        <v>244</v>
      </c>
      <c r="B1" s="2"/>
      <c r="C1" s="2"/>
      <c r="D1" s="2"/>
      <c r="E1" s="2"/>
      <c r="F1" s="2"/>
      <c r="G1" s="2"/>
      <c r="H1" s="2"/>
      <c r="I1" s="2"/>
      <c r="J1" s="2"/>
      <c r="K1" s="2"/>
      <c r="L1" s="2"/>
      <c r="M1" s="2"/>
      <c r="N1" s="2"/>
      <c r="O1" s="2"/>
      <c r="P1" s="2"/>
      <c r="Q1" s="2"/>
      <c r="R1" s="2"/>
      <c r="S1" s="2"/>
      <c r="T1" s="2"/>
      <c r="U1" s="2"/>
      <c r="V1" s="2"/>
      <c r="W1" s="2"/>
      <c r="X1" s="2"/>
      <c r="Y1" s="2"/>
      <c r="Z1" s="2"/>
      <c r="AA1" s="2"/>
      <c r="AB1" s="2"/>
      <c r="AC1" s="2"/>
    </row>
    <row r="2" spans="1:29" customFormat="1">
      <c r="A2" s="1" t="str">
        <f>INFO!A2</f>
        <v>VM/HVO 22.9.2025</v>
      </c>
      <c r="B2" s="2"/>
      <c r="C2" s="2"/>
      <c r="D2" s="2"/>
      <c r="E2" s="2"/>
      <c r="F2" s="2"/>
      <c r="G2" s="2"/>
      <c r="H2" s="2"/>
      <c r="I2" s="2"/>
      <c r="J2" s="2"/>
      <c r="K2" s="2"/>
      <c r="L2" s="2"/>
      <c r="M2" s="2"/>
      <c r="N2" s="2"/>
      <c r="O2" s="2"/>
      <c r="P2" s="2"/>
      <c r="Q2" s="2"/>
      <c r="R2" s="2"/>
      <c r="S2" s="2"/>
      <c r="T2" s="2"/>
      <c r="U2" s="2"/>
      <c r="V2" s="2"/>
      <c r="W2" s="2"/>
      <c r="X2" s="2"/>
      <c r="Y2" s="2"/>
      <c r="Z2" s="2"/>
      <c r="AA2" s="2"/>
      <c r="AB2" s="2"/>
      <c r="AC2" s="2"/>
    </row>
    <row r="3" spans="1:29" customFormat="1" ht="45" customHeight="1">
      <c r="A3" s="534" t="s">
        <v>429</v>
      </c>
      <c r="B3" s="534"/>
      <c r="C3" s="534"/>
      <c r="D3" s="534"/>
      <c r="E3" s="534"/>
      <c r="F3" s="534"/>
      <c r="G3" s="281"/>
      <c r="H3" s="281"/>
      <c r="I3" s="2"/>
      <c r="J3" s="2"/>
      <c r="K3" s="2"/>
      <c r="L3" s="2"/>
      <c r="M3" s="2"/>
      <c r="N3" s="2"/>
      <c r="O3" s="2"/>
      <c r="P3" s="2"/>
      <c r="Q3" s="2"/>
      <c r="R3" s="2"/>
      <c r="S3" s="2"/>
      <c r="T3" s="2"/>
      <c r="U3" s="2"/>
      <c r="V3" s="2"/>
      <c r="W3" s="2"/>
      <c r="X3" s="2"/>
      <c r="Y3" s="2"/>
      <c r="Z3" s="2"/>
      <c r="AA3" s="2"/>
      <c r="AB3" s="2"/>
      <c r="AC3" s="2"/>
    </row>
    <row r="4" spans="1:29" customFormat="1">
      <c r="A4" s="121"/>
      <c r="B4" s="2"/>
      <c r="C4" s="2"/>
      <c r="D4" s="2"/>
      <c r="E4" s="2"/>
      <c r="F4" s="2"/>
      <c r="G4" s="2"/>
      <c r="H4" s="476"/>
      <c r="I4" s="2"/>
      <c r="J4" s="2"/>
      <c r="K4" s="2"/>
      <c r="L4" s="2"/>
      <c r="M4" s="2"/>
      <c r="N4" s="2"/>
      <c r="O4" s="2"/>
      <c r="P4" s="2"/>
      <c r="Q4" s="2"/>
      <c r="R4" s="2"/>
      <c r="S4" s="2"/>
      <c r="T4" s="2"/>
      <c r="U4" s="2"/>
      <c r="V4" s="2"/>
      <c r="W4" s="2"/>
      <c r="X4" s="2"/>
      <c r="Y4" s="2"/>
      <c r="Z4" s="2"/>
      <c r="AA4" s="2"/>
      <c r="AB4" s="2"/>
      <c r="AC4" s="2"/>
    </row>
    <row r="5" spans="1:29" s="285" customFormat="1" ht="19" customHeight="1">
      <c r="A5" s="478" t="s">
        <v>243</v>
      </c>
      <c r="B5" s="282"/>
      <c r="C5" s="282"/>
      <c r="D5" s="282"/>
      <c r="E5" s="282"/>
      <c r="F5" s="283"/>
      <c r="G5" s="282"/>
      <c r="H5" s="282"/>
      <c r="I5" s="284"/>
      <c r="J5" s="284"/>
      <c r="K5" s="132"/>
      <c r="L5" s="528"/>
      <c r="M5" s="528"/>
      <c r="N5" s="528"/>
      <c r="O5" s="528"/>
      <c r="P5" s="528"/>
      <c r="Q5" s="528"/>
      <c r="R5" s="528"/>
      <c r="S5" s="528"/>
      <c r="T5" s="528"/>
      <c r="U5" s="528"/>
    </row>
    <row r="6" spans="1:29" s="289" customFormat="1" ht="56">
      <c r="A6" s="477" t="s">
        <v>6</v>
      </c>
      <c r="B6" s="286" t="s">
        <v>7</v>
      </c>
      <c r="C6" s="286" t="s">
        <v>36</v>
      </c>
      <c r="D6" s="288" t="s">
        <v>416</v>
      </c>
      <c r="E6" s="288" t="s">
        <v>238</v>
      </c>
      <c r="F6" s="287" t="s">
        <v>239</v>
      </c>
      <c r="G6" s="287" t="s">
        <v>240</v>
      </c>
      <c r="H6" s="287" t="s">
        <v>405</v>
      </c>
      <c r="I6" s="192" t="s">
        <v>241</v>
      </c>
      <c r="J6" s="196" t="s">
        <v>242</v>
      </c>
      <c r="K6" s="529"/>
      <c r="L6" s="529"/>
      <c r="M6" s="529"/>
      <c r="N6" s="529"/>
      <c r="O6" s="529"/>
      <c r="P6" s="529"/>
      <c r="Q6" s="529"/>
      <c r="R6" s="529"/>
      <c r="S6" s="529"/>
      <c r="T6" s="529"/>
      <c r="U6" s="529"/>
    </row>
    <row r="7" spans="1:29" s="285" customFormat="1">
      <c r="A7" s="290">
        <v>31</v>
      </c>
      <c r="B7" s="420" t="s">
        <v>14</v>
      </c>
      <c r="C7" s="291">
        <f>Määräytymistekijät!C8</f>
        <v>684018</v>
      </c>
      <c r="D7" s="292">
        <v>2951167484.5714469</v>
      </c>
      <c r="E7" s="292">
        <f>'SOTE laskennallinen rahoitus'!N54+'PELA laskennallinen rahoitus'!F49</f>
        <v>2966189755.5096107</v>
      </c>
      <c r="F7" s="293">
        <v>116897478.63716505</v>
      </c>
      <c r="G7" s="108">
        <f t="shared" ref="G7:G29" si="0">E7+F7</f>
        <v>3083087234.1467757</v>
      </c>
      <c r="H7" s="516">
        <v>138652636.00480026</v>
      </c>
      <c r="I7" s="294">
        <f t="shared" ref="I7:I29" si="1">G7/C7</f>
        <v>4507.3188631684779</v>
      </c>
      <c r="J7" s="295">
        <f t="shared" ref="J7:J29" si="2">G7-D7</f>
        <v>131919749.57532883</v>
      </c>
      <c r="K7" s="528"/>
      <c r="L7" s="292"/>
      <c r="M7" s="292"/>
      <c r="N7" s="530"/>
      <c r="O7" s="530"/>
      <c r="P7" s="528"/>
      <c r="Q7" s="528"/>
      <c r="R7" s="528"/>
      <c r="S7" s="528"/>
      <c r="T7" s="528"/>
      <c r="U7" s="528"/>
    </row>
    <row r="8" spans="1:29" s="285" customFormat="1">
      <c r="A8" s="290">
        <v>32</v>
      </c>
      <c r="B8" s="420" t="s">
        <v>41</v>
      </c>
      <c r="C8" s="291">
        <f>Määräytymistekijät!C9</f>
        <v>289730</v>
      </c>
      <c r="D8" s="292">
        <v>1201112245.8544662</v>
      </c>
      <c r="E8" s="292">
        <f>'SOTE laskennallinen rahoitus'!N55+'PELA laskennallinen rahoitus'!F50</f>
        <v>1261659134.9234107</v>
      </c>
      <c r="F8" s="293">
        <v>0</v>
      </c>
      <c r="G8" s="108">
        <f t="shared" si="0"/>
        <v>1261659134.9234107</v>
      </c>
      <c r="H8" s="516">
        <v>59126301.486691609</v>
      </c>
      <c r="I8" s="294">
        <f t="shared" si="1"/>
        <v>4354.6030266917842</v>
      </c>
      <c r="J8" s="295">
        <f t="shared" si="2"/>
        <v>60546889.068944454</v>
      </c>
      <c r="K8" s="528"/>
      <c r="L8" s="292"/>
      <c r="M8" s="292"/>
      <c r="N8" s="530"/>
      <c r="O8" s="530"/>
      <c r="P8" s="528"/>
      <c r="Q8" s="528"/>
      <c r="R8" s="528"/>
      <c r="S8" s="528"/>
      <c r="T8" s="528"/>
      <c r="U8" s="528"/>
    </row>
    <row r="9" spans="1:29" s="285" customFormat="1">
      <c r="A9" s="290">
        <v>33</v>
      </c>
      <c r="B9" s="420" t="s">
        <v>15</v>
      </c>
      <c r="C9" s="291">
        <f>Määräytymistekijät!C10</f>
        <v>502067</v>
      </c>
      <c r="D9" s="292">
        <v>1954281793.9045556</v>
      </c>
      <c r="E9" s="292">
        <f>'SOTE laskennallinen rahoitus'!N56+'PELA laskennallinen rahoitus'!F51</f>
        <v>2035001102.2550986</v>
      </c>
      <c r="F9" s="293">
        <v>-3375793.0115866666</v>
      </c>
      <c r="G9" s="108">
        <f t="shared" si="0"/>
        <v>2031625309.2435119</v>
      </c>
      <c r="H9" s="516">
        <v>95575974.567110479</v>
      </c>
      <c r="I9" s="294">
        <f t="shared" si="1"/>
        <v>4046.5222953181783</v>
      </c>
      <c r="J9" s="295">
        <f t="shared" si="2"/>
        <v>77343515.338956356</v>
      </c>
      <c r="K9" s="528"/>
      <c r="L9" s="292"/>
      <c r="M9" s="292"/>
      <c r="N9" s="530"/>
      <c r="O9" s="530"/>
      <c r="P9" s="528"/>
      <c r="Q9" s="528"/>
      <c r="R9" s="528"/>
      <c r="S9" s="528"/>
      <c r="T9" s="528"/>
      <c r="U9" s="528"/>
    </row>
    <row r="10" spans="1:29" s="285" customFormat="1">
      <c r="A10" s="290">
        <v>34</v>
      </c>
      <c r="B10" s="420" t="s">
        <v>16</v>
      </c>
      <c r="C10" s="291">
        <f>Määräytymistekijät!C11</f>
        <v>99415</v>
      </c>
      <c r="D10" s="292">
        <v>425398039.49145573</v>
      </c>
      <c r="E10" s="292">
        <f>'SOTE laskennallinen rahoitus'!N57+'PELA laskennallinen rahoitus'!F52</f>
        <v>458218054.16891021</v>
      </c>
      <c r="F10" s="293">
        <v>-21300403.995929066</v>
      </c>
      <c r="G10" s="108">
        <f t="shared" si="0"/>
        <v>436917650.17298114</v>
      </c>
      <c r="H10" s="516">
        <v>21492996.106080603</v>
      </c>
      <c r="I10" s="294">
        <f t="shared" si="1"/>
        <v>4394.886588271198</v>
      </c>
      <c r="J10" s="295">
        <f t="shared" si="2"/>
        <v>11519610.681525409</v>
      </c>
      <c r="K10" s="528"/>
      <c r="L10" s="292"/>
      <c r="M10" s="292"/>
      <c r="N10" s="530"/>
      <c r="O10" s="530"/>
      <c r="P10" s="528"/>
      <c r="Q10" s="528"/>
      <c r="R10" s="528"/>
      <c r="S10" s="528"/>
      <c r="T10" s="528"/>
      <c r="U10" s="528"/>
    </row>
    <row r="11" spans="1:29" s="285" customFormat="1">
      <c r="A11" s="290">
        <v>35</v>
      </c>
      <c r="B11" s="420" t="s">
        <v>17</v>
      </c>
      <c r="C11" s="291">
        <f>Määräytymistekijät!C12</f>
        <v>207070</v>
      </c>
      <c r="D11" s="292">
        <v>860229994.81333494</v>
      </c>
      <c r="E11" s="292">
        <f>'SOTE laskennallinen rahoitus'!N58+'PELA laskennallinen rahoitus'!F53</f>
        <v>860584840.84388196</v>
      </c>
      <c r="F11" s="293">
        <v>17026331.026091814</v>
      </c>
      <c r="G11" s="108">
        <f t="shared" si="0"/>
        <v>877611171.86997378</v>
      </c>
      <c r="H11" s="516">
        <v>40478208.968560949</v>
      </c>
      <c r="I11" s="294">
        <f t="shared" si="1"/>
        <v>4238.2342776354553</v>
      </c>
      <c r="J11" s="295">
        <f t="shared" si="2"/>
        <v>17381177.056638837</v>
      </c>
      <c r="K11" s="528"/>
      <c r="L11" s="292"/>
      <c r="M11" s="292"/>
      <c r="N11" s="530"/>
      <c r="O11" s="530"/>
      <c r="P11" s="528"/>
      <c r="Q11" s="528"/>
      <c r="R11" s="528"/>
      <c r="S11" s="528"/>
      <c r="T11" s="528"/>
      <c r="U11" s="528"/>
    </row>
    <row r="12" spans="1:29" s="285" customFormat="1">
      <c r="A12" s="296">
        <v>2</v>
      </c>
      <c r="B12" s="420" t="s">
        <v>18</v>
      </c>
      <c r="C12" s="291">
        <f>Määräytymistekijät!C13</f>
        <v>494819</v>
      </c>
      <c r="D12" s="292">
        <v>2331399490.3209543</v>
      </c>
      <c r="E12" s="292">
        <f>'SOTE laskennallinen rahoitus'!N59+'PELA laskennallinen rahoitus'!F54</f>
        <v>2499208960.6039953</v>
      </c>
      <c r="F12" s="293">
        <v>-71562821.399128675</v>
      </c>
      <c r="G12" s="108">
        <f t="shared" si="0"/>
        <v>2427646139.2048664</v>
      </c>
      <c r="H12" s="516">
        <v>117050927.94661579</v>
      </c>
      <c r="I12" s="294">
        <f t="shared" si="1"/>
        <v>4906.129593255042</v>
      </c>
      <c r="J12" s="295">
        <f t="shared" si="2"/>
        <v>96246648.883912086</v>
      </c>
      <c r="K12" s="528"/>
      <c r="L12" s="292"/>
      <c r="M12" s="292"/>
      <c r="N12" s="530"/>
      <c r="O12" s="530"/>
      <c r="P12" s="528"/>
      <c r="Q12" s="528"/>
      <c r="R12" s="528"/>
      <c r="S12" s="528"/>
      <c r="T12" s="528"/>
      <c r="U12" s="528"/>
    </row>
    <row r="13" spans="1:29" s="285" customFormat="1">
      <c r="A13" s="296">
        <v>4</v>
      </c>
      <c r="B13" s="420" t="s">
        <v>19</v>
      </c>
      <c r="C13" s="291">
        <f>Määräytymistekijät!C14</f>
        <v>211261</v>
      </c>
      <c r="D13" s="292">
        <v>1071083938.9290737</v>
      </c>
      <c r="E13" s="292">
        <f>'SOTE laskennallinen rahoitus'!N60+'PELA laskennallinen rahoitus'!F55</f>
        <v>1065771818.1974237</v>
      </c>
      <c r="F13" s="293">
        <v>18931114.288122892</v>
      </c>
      <c r="G13" s="108">
        <f t="shared" si="0"/>
        <v>1084702932.4855466</v>
      </c>
      <c r="H13" s="516">
        <v>50071903.86242228</v>
      </c>
      <c r="I13" s="294">
        <f t="shared" si="1"/>
        <v>5134.4210833307925</v>
      </c>
      <c r="J13" s="295">
        <f t="shared" si="2"/>
        <v>13618993.556472898</v>
      </c>
      <c r="K13" s="528"/>
      <c r="L13" s="292"/>
      <c r="M13" s="292"/>
      <c r="N13" s="530"/>
      <c r="O13" s="530"/>
      <c r="P13" s="528"/>
      <c r="Q13" s="528"/>
      <c r="R13" s="528"/>
      <c r="S13" s="528"/>
      <c r="T13" s="528"/>
      <c r="U13" s="528"/>
    </row>
    <row r="14" spans="1:29" s="285" customFormat="1">
      <c r="A14" s="296">
        <v>5</v>
      </c>
      <c r="B14" s="420" t="s">
        <v>20</v>
      </c>
      <c r="C14" s="291">
        <f>Määräytymistekijät!C15</f>
        <v>169455</v>
      </c>
      <c r="D14" s="292">
        <v>804329722.30501044</v>
      </c>
      <c r="E14" s="292">
        <f>'SOTE laskennallinen rahoitus'!N61+'PELA laskennallinen rahoitus'!F56</f>
        <v>834444579.65940523</v>
      </c>
      <c r="F14" s="293">
        <v>-7763981.3539030543</v>
      </c>
      <c r="G14" s="108">
        <f t="shared" si="0"/>
        <v>826680598.30550218</v>
      </c>
      <c r="H14" s="516">
        <v>39149000.796399646</v>
      </c>
      <c r="I14" s="294">
        <f t="shared" si="1"/>
        <v>4878.466839606398</v>
      </c>
      <c r="J14" s="295">
        <f t="shared" si="2"/>
        <v>22350876.000491738</v>
      </c>
      <c r="K14" s="528"/>
      <c r="L14" s="292"/>
      <c r="M14" s="292"/>
      <c r="N14" s="530"/>
      <c r="O14" s="530"/>
      <c r="P14" s="528"/>
      <c r="Q14" s="528"/>
      <c r="R14" s="528"/>
      <c r="S14" s="528"/>
      <c r="T14" s="528"/>
      <c r="U14" s="528"/>
    </row>
    <row r="15" spans="1:29" s="285" customFormat="1">
      <c r="A15" s="296">
        <v>6</v>
      </c>
      <c r="B15" s="420" t="s">
        <v>21</v>
      </c>
      <c r="C15" s="291">
        <f>Määräytymistekijät!C16</f>
        <v>545406</v>
      </c>
      <c r="D15" s="292">
        <v>2508873524.2520428</v>
      </c>
      <c r="E15" s="292">
        <f>'SOTE laskennallinen rahoitus'!N62+'PELA laskennallinen rahoitus'!F57</f>
        <v>2577763769.0484338</v>
      </c>
      <c r="F15" s="293">
        <v>0</v>
      </c>
      <c r="G15" s="108">
        <f t="shared" si="0"/>
        <v>2577763769.0484338</v>
      </c>
      <c r="H15" s="516">
        <v>120827967.89359349</v>
      </c>
      <c r="I15" s="294">
        <f t="shared" si="1"/>
        <v>4726.3208858142998</v>
      </c>
      <c r="J15" s="295">
        <f t="shared" si="2"/>
        <v>68890244.79639101</v>
      </c>
      <c r="K15" s="528"/>
      <c r="L15" s="292"/>
      <c r="M15" s="292"/>
      <c r="N15" s="530"/>
      <c r="O15" s="530"/>
      <c r="P15" s="528"/>
      <c r="Q15" s="528"/>
      <c r="R15" s="528"/>
      <c r="S15" s="528"/>
      <c r="T15" s="528"/>
      <c r="U15" s="528"/>
    </row>
    <row r="16" spans="1:29" s="285" customFormat="1">
      <c r="A16" s="296">
        <v>7</v>
      </c>
      <c r="B16" s="420" t="s">
        <v>22</v>
      </c>
      <c r="C16" s="291">
        <f>Määräytymistekijät!C17</f>
        <v>204635</v>
      </c>
      <c r="D16" s="292">
        <v>955002023.37775075</v>
      </c>
      <c r="E16" s="292">
        <f>'SOTE laskennallinen rahoitus'!N63+'PELA laskennallinen rahoitus'!F58</f>
        <v>1035658840.2252913</v>
      </c>
      <c r="F16" s="293">
        <v>-41485327.665901065</v>
      </c>
      <c r="G16" s="108">
        <f t="shared" si="0"/>
        <v>994173512.55939019</v>
      </c>
      <c r="H16" s="516">
        <v>48571008.369172163</v>
      </c>
      <c r="I16" s="294">
        <f t="shared" si="1"/>
        <v>4858.2769934732096</v>
      </c>
      <c r="J16" s="295">
        <f t="shared" si="2"/>
        <v>39171489.181639433</v>
      </c>
      <c r="K16" s="528"/>
      <c r="L16" s="292"/>
      <c r="M16" s="292"/>
      <c r="N16" s="530"/>
      <c r="O16" s="530"/>
      <c r="P16" s="528"/>
      <c r="Q16" s="528"/>
      <c r="R16" s="528"/>
      <c r="S16" s="528"/>
      <c r="T16" s="528"/>
      <c r="U16" s="528"/>
    </row>
    <row r="17" spans="1:21" s="285" customFormat="1">
      <c r="A17" s="296">
        <v>8</v>
      </c>
      <c r="B17" s="420" t="s">
        <v>23</v>
      </c>
      <c r="C17" s="291">
        <f>Määräytymistekijät!C18</f>
        <v>157442</v>
      </c>
      <c r="D17" s="292">
        <v>893465315.49569821</v>
      </c>
      <c r="E17" s="292">
        <f>'SOTE laskennallinen rahoitus'!N64+'PELA laskennallinen rahoitus'!F59</f>
        <v>860826280.40729904</v>
      </c>
      <c r="F17" s="293">
        <v>41185398.261614442</v>
      </c>
      <c r="G17" s="108">
        <f t="shared" si="0"/>
        <v>902011678.66891348</v>
      </c>
      <c r="H17" s="516">
        <v>40366952.952410735</v>
      </c>
      <c r="I17" s="294">
        <f t="shared" si="1"/>
        <v>5729.1680661380924</v>
      </c>
      <c r="J17" s="295">
        <f t="shared" si="2"/>
        <v>8546363.17321527</v>
      </c>
      <c r="K17" s="528"/>
      <c r="L17" s="292"/>
      <c r="M17" s="292"/>
      <c r="N17" s="530"/>
      <c r="O17" s="530"/>
      <c r="P17" s="528"/>
      <c r="Q17" s="528"/>
      <c r="R17" s="528"/>
      <c r="S17" s="528"/>
      <c r="T17" s="528"/>
      <c r="U17" s="528"/>
    </row>
    <row r="18" spans="1:21" s="285" customFormat="1">
      <c r="A18" s="296">
        <v>9</v>
      </c>
      <c r="B18" s="420" t="s">
        <v>24</v>
      </c>
      <c r="C18" s="291">
        <f>Määräytymistekijät!C19</f>
        <v>125083</v>
      </c>
      <c r="D18" s="292">
        <v>605456146.89935577</v>
      </c>
      <c r="E18" s="292">
        <f>'SOTE laskennallinen rahoitus'!N65+'PELA laskennallinen rahoitus'!F60</f>
        <v>610244964.96371782</v>
      </c>
      <c r="F18" s="293">
        <v>1974866.4205743074</v>
      </c>
      <c r="G18" s="108">
        <f t="shared" si="0"/>
        <v>612219831.38429213</v>
      </c>
      <c r="H18" s="516">
        <v>28651397.592820153</v>
      </c>
      <c r="I18" s="294">
        <f t="shared" si="1"/>
        <v>4894.5086972993304</v>
      </c>
      <c r="J18" s="295">
        <f t="shared" si="2"/>
        <v>6763684.4849363565</v>
      </c>
      <c r="K18" s="528"/>
      <c r="L18" s="292"/>
      <c r="M18" s="292"/>
      <c r="N18" s="530"/>
      <c r="O18" s="530"/>
      <c r="P18" s="528"/>
      <c r="Q18" s="528"/>
      <c r="R18" s="528"/>
      <c r="S18" s="528"/>
      <c r="T18" s="528"/>
      <c r="U18" s="528"/>
    </row>
    <row r="19" spans="1:21" s="285" customFormat="1">
      <c r="A19" s="296">
        <v>10</v>
      </c>
      <c r="B19" s="420" t="s">
        <v>25</v>
      </c>
      <c r="C19" s="291">
        <f>Määräytymistekijät!C20</f>
        <v>129376</v>
      </c>
      <c r="D19" s="292">
        <v>757573076.06432676</v>
      </c>
      <c r="E19" s="292">
        <f>'SOTE laskennallinen rahoitus'!N66+'PELA laskennallinen rahoitus'!F61</f>
        <v>748353658.61322129</v>
      </c>
      <c r="F19" s="293">
        <v>33333804.959971186</v>
      </c>
      <c r="G19" s="108">
        <f t="shared" si="0"/>
        <v>781687463.57319248</v>
      </c>
      <c r="H19" s="516">
        <v>35055089.848596513</v>
      </c>
      <c r="I19" s="294">
        <f t="shared" si="1"/>
        <v>6041.9820026372163</v>
      </c>
      <c r="J19" s="295">
        <f t="shared" si="2"/>
        <v>24114387.508865714</v>
      </c>
      <c r="K19" s="528"/>
      <c r="L19" s="292"/>
      <c r="M19" s="292"/>
      <c r="N19" s="530"/>
      <c r="O19" s="530"/>
      <c r="P19" s="528"/>
      <c r="Q19" s="528"/>
      <c r="R19" s="528"/>
      <c r="S19" s="528"/>
      <c r="T19" s="528"/>
      <c r="U19" s="528"/>
    </row>
    <row r="20" spans="1:21" s="285" customFormat="1">
      <c r="A20" s="296">
        <v>11</v>
      </c>
      <c r="B20" s="420" t="s">
        <v>26</v>
      </c>
      <c r="C20" s="291">
        <f>Määräytymistekijät!C21</f>
        <v>248815</v>
      </c>
      <c r="D20" s="292">
        <v>1289048742.4380822</v>
      </c>
      <c r="E20" s="292">
        <f>'SOTE laskennallinen rahoitus'!N67+'PELA laskennallinen rahoitus'!F62</f>
        <v>1331311489.0111973</v>
      </c>
      <c r="F20" s="293">
        <v>-2328229.938293458</v>
      </c>
      <c r="G20" s="108">
        <f t="shared" si="0"/>
        <v>1328983259.0729039</v>
      </c>
      <c r="H20" s="516">
        <v>62311689.424263492</v>
      </c>
      <c r="I20" s="294">
        <f t="shared" si="1"/>
        <v>5341.2505639648089</v>
      </c>
      <c r="J20" s="295">
        <f t="shared" si="2"/>
        <v>39934516.634821653</v>
      </c>
      <c r="K20" s="528"/>
      <c r="L20" s="292"/>
      <c r="M20" s="292"/>
      <c r="N20" s="530"/>
      <c r="O20" s="530"/>
      <c r="P20" s="528"/>
      <c r="Q20" s="528"/>
      <c r="R20" s="528"/>
      <c r="S20" s="528"/>
      <c r="T20" s="528"/>
      <c r="U20" s="528"/>
    </row>
    <row r="21" spans="1:21" s="285" customFormat="1">
      <c r="A21" s="296">
        <v>12</v>
      </c>
      <c r="B21" s="420" t="s">
        <v>27</v>
      </c>
      <c r="C21" s="291">
        <f>Määräytymistekijät!C22</f>
        <v>162091</v>
      </c>
      <c r="D21" s="292">
        <v>837451388.02451634</v>
      </c>
      <c r="E21" s="292">
        <f>'SOTE laskennallinen rahoitus'!N68+'PELA laskennallinen rahoitus'!F63</f>
        <v>933730287.64837492</v>
      </c>
      <c r="F21" s="293">
        <v>-55030667.798103213</v>
      </c>
      <c r="G21" s="108">
        <f t="shared" si="0"/>
        <v>878699619.8502717</v>
      </c>
      <c r="H21" s="516">
        <v>43716894.218189679</v>
      </c>
      <c r="I21" s="294">
        <f t="shared" si="1"/>
        <v>5421.0265829088085</v>
      </c>
      <c r="J21" s="295">
        <f t="shared" si="2"/>
        <v>41248231.825755358</v>
      </c>
      <c r="K21" s="528"/>
      <c r="L21" s="292"/>
      <c r="M21" s="292"/>
      <c r="N21" s="530"/>
      <c r="O21" s="530"/>
      <c r="P21" s="528"/>
      <c r="Q21" s="528"/>
      <c r="R21" s="528"/>
      <c r="S21" s="528"/>
      <c r="T21" s="528"/>
      <c r="U21" s="528"/>
    </row>
    <row r="22" spans="1:21" s="285" customFormat="1">
      <c r="A22" s="296">
        <v>13</v>
      </c>
      <c r="B22" s="420" t="s">
        <v>28</v>
      </c>
      <c r="C22" s="291">
        <f>Määräytymistekijät!C23</f>
        <v>274112</v>
      </c>
      <c r="D22" s="292">
        <v>1271292089.3122199</v>
      </c>
      <c r="E22" s="292">
        <f>'SOTE laskennallinen rahoitus'!N69+'PELA laskennallinen rahoitus'!F64</f>
        <v>1292945978.9452097</v>
      </c>
      <c r="F22" s="293">
        <v>14853928.090139389</v>
      </c>
      <c r="G22" s="108">
        <f t="shared" si="0"/>
        <v>1307799907.0353491</v>
      </c>
      <c r="H22" s="516">
        <v>60682948.422606625</v>
      </c>
      <c r="I22" s="294">
        <f t="shared" si="1"/>
        <v>4771.0421544308501</v>
      </c>
      <c r="J22" s="295">
        <f t="shared" si="2"/>
        <v>36507817.723129272</v>
      </c>
      <c r="K22" s="528"/>
      <c r="L22" s="292"/>
      <c r="M22" s="292"/>
      <c r="N22" s="530"/>
      <c r="O22" s="530"/>
      <c r="P22" s="528"/>
      <c r="Q22" s="528"/>
      <c r="R22" s="528"/>
      <c r="S22" s="528"/>
      <c r="T22" s="528"/>
      <c r="U22" s="528"/>
    </row>
    <row r="23" spans="1:21" s="285" customFormat="1">
      <c r="A23" s="296">
        <v>14</v>
      </c>
      <c r="B23" s="420" t="s">
        <v>29</v>
      </c>
      <c r="C23" s="291">
        <f>Määräytymistekijät!C24</f>
        <v>189929</v>
      </c>
      <c r="D23" s="292">
        <v>964908484.45267868</v>
      </c>
      <c r="E23" s="292">
        <f>'SOTE laskennallinen rahoitus'!N70+'PELA laskennallinen rahoitus'!F65</f>
        <v>1012268796.9904723</v>
      </c>
      <c r="F23" s="293">
        <v>0</v>
      </c>
      <c r="G23" s="108">
        <f t="shared" si="0"/>
        <v>1012268796.9904723</v>
      </c>
      <c r="H23" s="516">
        <v>47514569.260872133</v>
      </c>
      <c r="I23" s="294">
        <f t="shared" si="1"/>
        <v>5329.7221434876838</v>
      </c>
      <c r="J23" s="295">
        <f t="shared" si="2"/>
        <v>47360312.537793636</v>
      </c>
      <c r="K23" s="528"/>
      <c r="L23" s="292"/>
      <c r="M23" s="292"/>
      <c r="N23" s="530"/>
      <c r="O23" s="530"/>
      <c r="P23" s="528"/>
      <c r="Q23" s="528"/>
      <c r="R23" s="528"/>
      <c r="S23" s="528"/>
      <c r="T23" s="528"/>
      <c r="U23" s="528"/>
    </row>
    <row r="24" spans="1:21" s="285" customFormat="1">
      <c r="A24" s="296">
        <v>15</v>
      </c>
      <c r="B24" s="420" t="s">
        <v>30</v>
      </c>
      <c r="C24" s="291">
        <f>Määräytymistekijät!C25</f>
        <v>178749</v>
      </c>
      <c r="D24" s="292">
        <v>843208376.07363176</v>
      </c>
      <c r="E24" s="292">
        <f>'SOTE laskennallinen rahoitus'!N71+'PELA laskennallinen rahoitus'!F66</f>
        <v>849781655.98305428</v>
      </c>
      <c r="F24" s="293">
        <v>11592344.928301096</v>
      </c>
      <c r="G24" s="108">
        <f t="shared" si="0"/>
        <v>861374000.91135538</v>
      </c>
      <c r="H24" s="516">
        <v>39909903.713070244</v>
      </c>
      <c r="I24" s="294">
        <f t="shared" si="1"/>
        <v>4818.9024884690562</v>
      </c>
      <c r="J24" s="295">
        <f t="shared" si="2"/>
        <v>18165624.837723613</v>
      </c>
      <c r="K24" s="528"/>
      <c r="L24" s="292"/>
      <c r="M24" s="292"/>
      <c r="N24" s="530"/>
      <c r="O24" s="530"/>
      <c r="P24" s="528"/>
      <c r="Q24" s="528"/>
      <c r="R24" s="528"/>
      <c r="S24" s="528"/>
      <c r="T24" s="528"/>
      <c r="U24" s="528"/>
    </row>
    <row r="25" spans="1:21" s="285" customFormat="1">
      <c r="A25" s="296">
        <v>16</v>
      </c>
      <c r="B25" s="420" t="s">
        <v>31</v>
      </c>
      <c r="C25" s="291">
        <f>Määräytymistekijät!C26</f>
        <v>67723</v>
      </c>
      <c r="D25" s="292">
        <v>333390549.93616205</v>
      </c>
      <c r="E25" s="292">
        <f>'SOTE laskennallinen rahoitus'!N72+'PELA laskennallinen rahoitus'!F67</f>
        <v>357459357.82074845</v>
      </c>
      <c r="F25" s="293">
        <v>-14323106.953637004</v>
      </c>
      <c r="G25" s="108">
        <f t="shared" si="0"/>
        <v>343136250.86711144</v>
      </c>
      <c r="H25" s="516">
        <v>16759638.793629119</v>
      </c>
      <c r="I25" s="294">
        <f t="shared" si="1"/>
        <v>5066.76093597613</v>
      </c>
      <c r="J25" s="295">
        <f t="shared" si="2"/>
        <v>9745700.9309493899</v>
      </c>
      <c r="K25" s="528"/>
      <c r="L25" s="292"/>
      <c r="M25" s="292"/>
      <c r="N25" s="530"/>
      <c r="O25" s="530"/>
      <c r="P25" s="528"/>
      <c r="Q25" s="528"/>
      <c r="R25" s="528"/>
      <c r="S25" s="528"/>
      <c r="T25" s="528"/>
      <c r="U25" s="528"/>
    </row>
    <row r="26" spans="1:21" s="285" customFormat="1">
      <c r="A26" s="296">
        <v>17</v>
      </c>
      <c r="B26" s="420" t="s">
        <v>32</v>
      </c>
      <c r="C26" s="291">
        <f>Määräytymistekijät!C27</f>
        <v>418331</v>
      </c>
      <c r="D26" s="292">
        <v>1980334066.9226801</v>
      </c>
      <c r="E26" s="292">
        <f>'SOTE laskennallinen rahoitus'!N73+'PELA laskennallinen rahoitus'!F68</f>
        <v>2066019691.1000807</v>
      </c>
      <c r="F26" s="293">
        <v>-17871925.246083975</v>
      </c>
      <c r="G26" s="108">
        <f t="shared" si="0"/>
        <v>2048147765.8539968</v>
      </c>
      <c r="H26" s="516">
        <v>96891268.419591337</v>
      </c>
      <c r="I26" s="294">
        <f t="shared" si="1"/>
        <v>4895.9980633852065</v>
      </c>
      <c r="J26" s="295">
        <f t="shared" si="2"/>
        <v>67813698.931316614</v>
      </c>
      <c r="K26" s="528"/>
      <c r="L26" s="292"/>
      <c r="M26" s="292"/>
      <c r="N26" s="530"/>
      <c r="O26" s="530"/>
      <c r="P26" s="528"/>
      <c r="Q26" s="528"/>
      <c r="R26" s="528"/>
      <c r="S26" s="528"/>
      <c r="T26" s="528"/>
      <c r="U26" s="528"/>
    </row>
    <row r="27" spans="1:21" s="285" customFormat="1">
      <c r="A27" s="296">
        <v>18</v>
      </c>
      <c r="B27" s="420" t="s">
        <v>33</v>
      </c>
      <c r="C27" s="291">
        <f>Määräytymistekijät!C28</f>
        <v>69639</v>
      </c>
      <c r="D27" s="292">
        <v>403909394.42135143</v>
      </c>
      <c r="E27" s="292">
        <f>'SOTE laskennallinen rahoitus'!N74+'PELA laskennallinen rahoitus'!F69</f>
        <v>415175933.01972234</v>
      </c>
      <c r="F27" s="293">
        <v>-44524.937106132696</v>
      </c>
      <c r="G27" s="108">
        <f t="shared" si="0"/>
        <v>415131408.08261621</v>
      </c>
      <c r="H27" s="516">
        <v>19488802.916792575</v>
      </c>
      <c r="I27" s="294">
        <f t="shared" si="1"/>
        <v>5961.1914025562719</v>
      </c>
      <c r="J27" s="295">
        <f t="shared" si="2"/>
        <v>11222013.661264777</v>
      </c>
      <c r="K27" s="528"/>
      <c r="L27" s="292"/>
      <c r="M27" s="292"/>
      <c r="N27" s="530"/>
      <c r="O27" s="530"/>
      <c r="P27" s="528"/>
      <c r="Q27" s="528"/>
      <c r="R27" s="528"/>
      <c r="S27" s="528"/>
      <c r="T27" s="528"/>
      <c r="U27" s="528"/>
    </row>
    <row r="28" spans="1:21" s="285" customFormat="1">
      <c r="A28" s="296">
        <v>19</v>
      </c>
      <c r="B28" s="420" t="s">
        <v>34</v>
      </c>
      <c r="C28" s="291">
        <f>Määräytymistekijät!C29</f>
        <v>176151</v>
      </c>
      <c r="D28" s="292">
        <v>1009198513.4020054</v>
      </c>
      <c r="E28" s="292">
        <f>'SOTE laskennallinen rahoitus'!N75+'PELA laskennallinen rahoitus'!F70</f>
        <v>1091140292.0867691</v>
      </c>
      <c r="F28" s="293">
        <v>-45616246.277152658</v>
      </c>
      <c r="G28" s="108">
        <f t="shared" si="0"/>
        <v>1045524045.8096164</v>
      </c>
      <c r="H28" s="516">
        <v>51225615.249348953</v>
      </c>
      <c r="I28" s="294">
        <f t="shared" si="1"/>
        <v>5935.3852422615619</v>
      </c>
      <c r="J28" s="295">
        <f t="shared" si="2"/>
        <v>36325532.407611012</v>
      </c>
      <c r="K28" s="528"/>
      <c r="L28" s="292"/>
      <c r="M28" s="292"/>
      <c r="N28" s="530"/>
      <c r="O28" s="530"/>
      <c r="P28" s="528"/>
      <c r="Q28" s="528"/>
      <c r="R28" s="528"/>
      <c r="S28" s="528"/>
      <c r="T28" s="528"/>
      <c r="U28" s="528"/>
    </row>
    <row r="29" spans="1:21" s="285" customFormat="1">
      <c r="A29" s="297"/>
      <c r="B29" s="420" t="s">
        <v>35</v>
      </c>
      <c r="C29" s="457">
        <f>Määräytymistekijät!C30</f>
        <v>5605317</v>
      </c>
      <c r="D29" s="108">
        <v>26252114401.262802</v>
      </c>
      <c r="E29" s="108">
        <f>'SOTE laskennallinen rahoitus'!N76+'PELA laskennallinen rahoitus'!F71</f>
        <v>27163759242.025326</v>
      </c>
      <c r="F29" s="298">
        <v>-24907761.964844778</v>
      </c>
      <c r="G29" s="108">
        <f t="shared" si="0"/>
        <v>27138851480.060482</v>
      </c>
      <c r="H29" s="517">
        <v>1273571696.8136308</v>
      </c>
      <c r="I29" s="299">
        <f t="shared" si="1"/>
        <v>4841.626527109971</v>
      </c>
      <c r="J29" s="300">
        <f t="shared" si="2"/>
        <v>886737078.7976799</v>
      </c>
      <c r="K29" s="528"/>
      <c r="L29" s="292"/>
      <c r="M29" s="292"/>
      <c r="N29" s="530"/>
      <c r="O29" s="530"/>
      <c r="P29" s="528"/>
      <c r="Q29" s="528"/>
      <c r="R29" s="528"/>
      <c r="S29" s="528"/>
      <c r="T29" s="528"/>
      <c r="U29" s="528"/>
    </row>
    <row r="30" spans="1:21" s="2" customFormat="1">
      <c r="C30" s="301"/>
      <c r="D30" s="301"/>
      <c r="E30" s="301"/>
      <c r="F30" s="301"/>
      <c r="G30" s="301"/>
      <c r="H30" s="301"/>
      <c r="I30" s="301"/>
      <c r="J30" s="301"/>
      <c r="K30" s="301"/>
      <c r="L30" s="301"/>
      <c r="M30" s="301"/>
      <c r="N30" s="301"/>
    </row>
    <row r="31" spans="1:21" s="2" customFormat="1">
      <c r="C31" s="301"/>
      <c r="D31" s="301"/>
      <c r="E31" s="301"/>
      <c r="F31" s="301"/>
      <c r="G31" s="301"/>
      <c r="H31" s="301"/>
      <c r="I31" s="301"/>
      <c r="J31" s="301"/>
      <c r="K31" s="301"/>
      <c r="L31" s="301"/>
      <c r="M31" s="301"/>
      <c r="N31" s="301"/>
    </row>
    <row r="32" spans="1:21" s="2" customFormat="1">
      <c r="C32" s="301"/>
      <c r="D32" s="301"/>
      <c r="E32" s="301"/>
      <c r="F32" s="301"/>
      <c r="G32" s="301"/>
      <c r="H32" s="301"/>
      <c r="I32" s="301"/>
      <c r="J32" s="301"/>
      <c r="K32" s="301"/>
      <c r="L32" s="301"/>
      <c r="M32" s="301"/>
      <c r="N32" s="301"/>
    </row>
    <row r="33" spans="3:14" s="2" customFormat="1">
      <c r="C33" s="301"/>
      <c r="D33" s="301"/>
      <c r="E33" s="301"/>
      <c r="F33" s="301"/>
      <c r="G33" s="301"/>
      <c r="H33" s="301"/>
      <c r="I33" s="301"/>
      <c r="J33" s="301"/>
      <c r="K33" s="301"/>
      <c r="L33" s="301"/>
      <c r="M33" s="301"/>
      <c r="N33" s="301"/>
    </row>
    <row r="34" spans="3:14" s="2" customFormat="1">
      <c r="C34" s="301"/>
      <c r="D34" s="301"/>
      <c r="E34" s="301"/>
      <c r="F34" s="301"/>
      <c r="G34" s="301"/>
      <c r="H34" s="301"/>
      <c r="I34" s="301"/>
      <c r="J34" s="301"/>
      <c r="K34" s="301"/>
      <c r="L34" s="301"/>
      <c r="M34" s="301"/>
      <c r="N34" s="301"/>
    </row>
    <row r="35" spans="3:14" s="2" customFormat="1">
      <c r="C35" s="301"/>
      <c r="D35" s="301"/>
      <c r="E35" s="301"/>
      <c r="F35" s="301"/>
      <c r="G35" s="301"/>
      <c r="H35" s="301"/>
      <c r="I35" s="301"/>
      <c r="J35" s="301"/>
      <c r="K35" s="301"/>
      <c r="L35" s="301"/>
      <c r="M35" s="301"/>
      <c r="N35" s="301"/>
    </row>
    <row r="36" spans="3:14" s="2" customFormat="1">
      <c r="C36" s="301"/>
      <c r="D36" s="301"/>
      <c r="E36" s="301"/>
      <c r="F36" s="301"/>
      <c r="G36" s="301"/>
      <c r="H36" s="301"/>
      <c r="I36" s="301"/>
      <c r="J36" s="301"/>
      <c r="K36" s="301"/>
      <c r="L36" s="301"/>
      <c r="M36" s="301"/>
      <c r="N36" s="301"/>
    </row>
    <row r="37" spans="3:14" s="2" customFormat="1">
      <c r="C37" s="301"/>
      <c r="D37" s="301"/>
      <c r="E37" s="301"/>
      <c r="F37" s="301"/>
      <c r="G37" s="301"/>
      <c r="H37" s="301"/>
      <c r="I37" s="301"/>
      <c r="J37" s="301"/>
      <c r="K37" s="301"/>
      <c r="L37" s="301"/>
      <c r="M37" s="301"/>
      <c r="N37" s="301"/>
    </row>
    <row r="38" spans="3:14" s="2" customFormat="1">
      <c r="C38" s="301"/>
      <c r="D38" s="301"/>
      <c r="E38" s="301"/>
      <c r="F38" s="301"/>
      <c r="G38" s="301"/>
      <c r="H38" s="301"/>
      <c r="I38" s="301"/>
      <c r="J38" s="301"/>
      <c r="K38" s="301"/>
      <c r="L38" s="301"/>
      <c r="M38" s="301"/>
      <c r="N38" s="301"/>
    </row>
    <row r="39" spans="3:14" s="2" customFormat="1">
      <c r="C39" s="301"/>
      <c r="D39" s="301"/>
      <c r="E39" s="301"/>
      <c r="F39" s="301"/>
      <c r="G39" s="301"/>
      <c r="H39" s="301"/>
      <c r="I39" s="301"/>
      <c r="J39" s="301"/>
      <c r="K39" s="301"/>
      <c r="L39" s="301"/>
      <c r="M39" s="301"/>
      <c r="N39" s="301"/>
    </row>
    <row r="40" spans="3:14" s="2" customFormat="1">
      <c r="C40" s="301"/>
      <c r="D40" s="301"/>
      <c r="E40" s="301"/>
      <c r="F40" s="301"/>
      <c r="G40" s="301"/>
      <c r="H40" s="301"/>
      <c r="I40" s="301"/>
      <c r="J40" s="301"/>
      <c r="K40" s="301"/>
      <c r="L40" s="301"/>
      <c r="M40" s="301"/>
      <c r="N40" s="301"/>
    </row>
    <row r="41" spans="3:14" s="2" customFormat="1">
      <c r="C41" s="301"/>
      <c r="D41" s="301"/>
      <c r="E41" s="301"/>
      <c r="F41" s="301"/>
      <c r="G41" s="301"/>
      <c r="H41" s="301"/>
      <c r="I41" s="301"/>
      <c r="J41" s="301"/>
      <c r="K41" s="301"/>
      <c r="L41" s="301"/>
      <c r="M41" s="301"/>
      <c r="N41" s="301"/>
    </row>
    <row r="42" spans="3:14" s="2" customFormat="1">
      <c r="C42" s="301"/>
      <c r="D42" s="301"/>
      <c r="E42" s="301"/>
      <c r="F42" s="301"/>
      <c r="G42" s="301"/>
      <c r="H42" s="301"/>
      <c r="I42" s="301"/>
      <c r="J42" s="301"/>
      <c r="K42" s="301"/>
      <c r="L42" s="301"/>
      <c r="M42" s="301"/>
      <c r="N42" s="301"/>
    </row>
    <row r="43" spans="3:14" s="2" customFormat="1">
      <c r="C43" s="301"/>
      <c r="D43" s="301"/>
      <c r="E43" s="301"/>
      <c r="F43" s="301"/>
      <c r="G43" s="301"/>
      <c r="H43" s="301"/>
      <c r="I43" s="301"/>
      <c r="J43" s="301"/>
      <c r="K43" s="301"/>
      <c r="L43" s="301"/>
      <c r="M43" s="301"/>
      <c r="N43" s="301"/>
    </row>
    <row r="44" spans="3:14" s="2" customFormat="1">
      <c r="C44" s="301"/>
      <c r="D44" s="301"/>
      <c r="E44" s="301"/>
      <c r="F44" s="301"/>
      <c r="G44" s="301"/>
      <c r="H44" s="301"/>
      <c r="I44" s="301"/>
      <c r="J44" s="301"/>
      <c r="K44" s="301"/>
      <c r="L44" s="301"/>
      <c r="M44" s="301"/>
      <c r="N44" s="301"/>
    </row>
    <row r="45" spans="3:14" s="2" customFormat="1">
      <c r="C45" s="301"/>
      <c r="D45" s="301"/>
      <c r="E45" s="301"/>
      <c r="F45" s="301"/>
      <c r="G45" s="301"/>
      <c r="H45" s="301"/>
      <c r="I45" s="301"/>
      <c r="J45" s="301"/>
      <c r="K45" s="301"/>
      <c r="L45" s="301"/>
      <c r="M45" s="301"/>
      <c r="N45" s="301"/>
    </row>
    <row r="46" spans="3:14" s="2" customFormat="1">
      <c r="C46" s="301"/>
      <c r="D46" s="301"/>
      <c r="E46" s="301"/>
      <c r="F46" s="301"/>
      <c r="G46" s="301"/>
      <c r="H46" s="301"/>
      <c r="I46" s="301"/>
      <c r="J46" s="301"/>
      <c r="K46" s="301"/>
      <c r="L46" s="301"/>
      <c r="M46" s="301"/>
      <c r="N46" s="301"/>
    </row>
    <row r="47" spans="3:14" s="2" customFormat="1">
      <c r="C47" s="301"/>
      <c r="D47" s="301"/>
      <c r="E47" s="301"/>
      <c r="F47" s="301"/>
      <c r="G47" s="301"/>
      <c r="H47" s="301"/>
      <c r="I47" s="301"/>
      <c r="J47" s="301"/>
      <c r="K47" s="301"/>
      <c r="L47" s="301"/>
      <c r="M47" s="301"/>
      <c r="N47" s="302"/>
    </row>
    <row r="48" spans="3:14" s="2" customFormat="1">
      <c r="C48" s="301"/>
      <c r="D48" s="301"/>
      <c r="E48" s="301"/>
      <c r="F48" s="301"/>
      <c r="G48" s="301"/>
      <c r="H48" s="301"/>
      <c r="I48" s="301"/>
      <c r="J48" s="301"/>
      <c r="K48" s="301"/>
      <c r="L48" s="301"/>
      <c r="M48" s="301"/>
      <c r="N48" s="302"/>
    </row>
  </sheetData>
  <mergeCells count="1">
    <mergeCell ref="A3:F3"/>
  </mergeCell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sheetPr>
  <dimension ref="A1:I71"/>
  <sheetViews>
    <sheetView zoomScale="85" zoomScaleNormal="85" workbookViewId="0"/>
  </sheetViews>
  <sheetFormatPr defaultRowHeight="14"/>
  <cols>
    <col min="1" max="1" width="89.08203125" style="101" customWidth="1"/>
    <col min="2" max="2" width="24.5" style="101" customWidth="1"/>
    <col min="3" max="3" width="29.33203125" customWidth="1"/>
    <col min="4" max="4" width="26.58203125" customWidth="1"/>
    <col min="5" max="5" width="16" customWidth="1"/>
    <col min="6" max="6" width="15.5" customWidth="1"/>
    <col min="7" max="7" width="15.83203125" customWidth="1"/>
    <col min="8" max="8" width="16.08203125" customWidth="1"/>
    <col min="9" max="9" width="18.75" customWidth="1"/>
    <col min="10" max="10" width="13.58203125" customWidth="1"/>
  </cols>
  <sheetData>
    <row r="1" spans="1:7" ht="20">
      <c r="A1" s="185" t="s">
        <v>230</v>
      </c>
    </row>
    <row r="2" spans="1:7">
      <c r="A2" s="136" t="str">
        <f>INFO!A2</f>
        <v>VM/HVO 22.9.2025</v>
      </c>
    </row>
    <row r="3" spans="1:7" ht="24.75" customHeight="1">
      <c r="A3" s="535" t="s">
        <v>393</v>
      </c>
      <c r="B3" s="535"/>
    </row>
    <row r="4" spans="1:7" s="25" customFormat="1" ht="110.5" customHeight="1">
      <c r="A4" s="536" t="s">
        <v>448</v>
      </c>
      <c r="B4" s="536"/>
      <c r="C4" s="511"/>
    </row>
    <row r="5" spans="1:7" s="25" customFormat="1" ht="14.15" customHeight="1">
      <c r="A5" s="24"/>
      <c r="B5" s="24"/>
      <c r="C5" s="133"/>
    </row>
    <row r="6" spans="1:7" s="25" customFormat="1" ht="14.15" customHeight="1">
      <c r="A6" s="98" t="s">
        <v>428</v>
      </c>
      <c r="B6" s="102"/>
      <c r="D6" s="187" t="s">
        <v>208</v>
      </c>
      <c r="E6" s="187"/>
      <c r="F6" s="187"/>
    </row>
    <row r="7" spans="1:7" s="25" customFormat="1" ht="14.15" customHeight="1">
      <c r="A7" s="24" t="s">
        <v>197</v>
      </c>
      <c r="B7" s="94" t="s">
        <v>0</v>
      </c>
      <c r="D7" s="25" t="s">
        <v>209</v>
      </c>
      <c r="E7" s="25" t="s">
        <v>205</v>
      </c>
      <c r="F7" s="25" t="s">
        <v>197</v>
      </c>
    </row>
    <row r="8" spans="1:7" s="25" customFormat="1" ht="14.15" customHeight="1">
      <c r="A8" s="24" t="s">
        <v>231</v>
      </c>
      <c r="B8" s="485">
        <v>25738674465.479099</v>
      </c>
      <c r="C8" s="250"/>
      <c r="D8" s="25" t="s">
        <v>204</v>
      </c>
      <c r="E8" s="25">
        <v>0.6</v>
      </c>
      <c r="F8" s="512">
        <v>3.6</v>
      </c>
      <c r="G8" s="244"/>
    </row>
    <row r="9" spans="1:7" s="25" customFormat="1" ht="14.15" customHeight="1">
      <c r="A9" s="24" t="s">
        <v>232</v>
      </c>
      <c r="B9" s="246">
        <v>580541663.98398113</v>
      </c>
      <c r="C9" s="250"/>
      <c r="D9" s="25" t="s">
        <v>206</v>
      </c>
      <c r="E9" s="25">
        <v>0.3</v>
      </c>
      <c r="F9" s="512">
        <v>1.4</v>
      </c>
    </row>
    <row r="10" spans="1:7" s="25" customFormat="1" ht="14.15" customHeight="1">
      <c r="A10" s="99" t="s">
        <v>211</v>
      </c>
      <c r="B10" s="100">
        <v>26321616129.463081</v>
      </c>
      <c r="C10" s="250"/>
      <c r="D10" s="25" t="s">
        <v>207</v>
      </c>
      <c r="E10" s="25">
        <v>0.1</v>
      </c>
      <c r="F10" s="512">
        <v>6.7259170677180125</v>
      </c>
    </row>
    <row r="11" spans="1:7" s="25" customFormat="1" ht="14.15" customHeight="1">
      <c r="A11" s="24"/>
      <c r="B11" s="247"/>
      <c r="C11" s="250"/>
      <c r="D11" s="188" t="s">
        <v>203</v>
      </c>
      <c r="E11" s="25">
        <v>1</v>
      </c>
      <c r="F11" s="513">
        <f>E8*F8+E9*F9+E10*F10</f>
        <v>3.2525917067718013</v>
      </c>
      <c r="G11" s="206"/>
    </row>
    <row r="12" spans="1:7" s="25" customFormat="1" ht="14.15" customHeight="1">
      <c r="A12" s="24" t="s">
        <v>1</v>
      </c>
      <c r="B12" s="205">
        <f>B8*((1.02%+0.2%)*80%)</f>
        <v>251209462.78307605</v>
      </c>
      <c r="C12" s="250"/>
    </row>
    <row r="13" spans="1:7" s="25" customFormat="1" ht="14.15" customHeight="1">
      <c r="A13" s="24" t="s">
        <v>2</v>
      </c>
      <c r="B13" s="248">
        <f>(B8*1.0325*(1+((1.02%+0.2%)*80%))-B8-B12)</f>
        <v>844671227.66851926</v>
      </c>
      <c r="C13" s="250"/>
    </row>
    <row r="14" spans="1:7" s="25" customFormat="1" ht="14.15" customHeight="1">
      <c r="A14" s="24" t="s">
        <v>3</v>
      </c>
      <c r="B14" s="248">
        <f>B9*0.0325</f>
        <v>18867604.079479389</v>
      </c>
      <c r="C14" s="250"/>
      <c r="D14" s="241"/>
      <c r="E14" s="484"/>
      <c r="F14" s="488"/>
      <c r="G14" s="486"/>
    </row>
    <row r="15" spans="1:7" s="25" customFormat="1" ht="14.15" customHeight="1">
      <c r="A15" s="139"/>
      <c r="B15" s="249"/>
      <c r="C15" s="250"/>
      <c r="D15" s="486"/>
      <c r="E15" s="241"/>
      <c r="F15" s="488"/>
      <c r="G15" s="486"/>
    </row>
    <row r="16" spans="1:7" s="25" customFormat="1" ht="14.15" customHeight="1">
      <c r="A16" s="24" t="s">
        <v>217</v>
      </c>
      <c r="B16" s="248">
        <f>B47</f>
        <v>-71966969.101194382</v>
      </c>
      <c r="C16" s="250"/>
      <c r="D16" s="487"/>
      <c r="F16" s="488"/>
    </row>
    <row r="17" spans="1:9" s="25" customFormat="1" ht="14.15" customHeight="1">
      <c r="A17" s="24" t="s">
        <v>218</v>
      </c>
      <c r="B17" s="211">
        <f>B51</f>
        <v>-110030.8988056215</v>
      </c>
      <c r="C17" s="250"/>
    </row>
    <row r="18" spans="1:9" s="25" customFormat="1" ht="14.15" customHeight="1">
      <c r="A18" s="24" t="s">
        <v>423</v>
      </c>
      <c r="B18" s="211">
        <f>B16+B17</f>
        <v>-72077000</v>
      </c>
      <c r="C18" s="250"/>
      <c r="D18" s="487"/>
      <c r="E18" s="508"/>
      <c r="F18" s="488"/>
    </row>
    <row r="19" spans="1:9" s="25" customFormat="1" ht="14.15" customHeight="1">
      <c r="A19" s="24"/>
      <c r="B19" s="211"/>
      <c r="C19" s="250"/>
      <c r="D19" s="486"/>
      <c r="E19" s="508"/>
      <c r="F19" s="488"/>
    </row>
    <row r="20" spans="1:9" s="25" customFormat="1" ht="14.15" customHeight="1">
      <c r="A20" s="461" t="s">
        <v>394</v>
      </c>
      <c r="B20" s="211">
        <f>'Jälkikäteistarkistus 2026'!E39</f>
        <v>-196599513.67208415</v>
      </c>
      <c r="C20" s="250"/>
      <c r="D20" s="487"/>
      <c r="F20" s="488"/>
    </row>
    <row r="21" spans="1:9" s="25" customFormat="1" ht="14.15" customHeight="1">
      <c r="A21" s="461" t="s">
        <v>395</v>
      </c>
      <c r="B21" s="211">
        <f>'Jälkikäteistarkistus 2026'!E42</f>
        <v>-1528668.2967440241</v>
      </c>
      <c r="C21" s="250"/>
      <c r="D21" s="487"/>
    </row>
    <row r="22" spans="1:9" s="25" customFormat="1" ht="14.15" customHeight="1">
      <c r="A22" s="461" t="s">
        <v>396</v>
      </c>
      <c r="B22" s="211">
        <f>B20+B21</f>
        <v>-198128181.96882817</v>
      </c>
      <c r="C22" s="250"/>
    </row>
    <row r="23" spans="1:9" s="25" customFormat="1" ht="14.15" customHeight="1">
      <c r="A23" s="24"/>
      <c r="B23" s="211"/>
      <c r="C23" s="250"/>
      <c r="D23" s="487"/>
    </row>
    <row r="24" spans="1:9" s="25" customFormat="1" ht="14.15" customHeight="1">
      <c r="A24" s="24" t="s">
        <v>233</v>
      </c>
      <c r="B24" s="205">
        <f>B8+B12+B13+B16+B20</f>
        <v>26565988673.157413</v>
      </c>
      <c r="C24" s="250"/>
      <c r="D24" s="487"/>
    </row>
    <row r="25" spans="1:9" s="25" customFormat="1" ht="14.15" customHeight="1">
      <c r="A25" s="24" t="s">
        <v>234</v>
      </c>
      <c r="B25" s="205">
        <f>B9+B14+B17+B21</f>
        <v>597770568.86791086</v>
      </c>
      <c r="C25" s="250"/>
    </row>
    <row r="26" spans="1:9" s="25" customFormat="1" ht="14.15" customHeight="1">
      <c r="A26" s="99" t="s">
        <v>235</v>
      </c>
      <c r="B26" s="100">
        <f>B24+B25</f>
        <v>27163759242.025326</v>
      </c>
      <c r="C26" s="250"/>
    </row>
    <row r="27" spans="1:9" s="25" customFormat="1" ht="14.15" customHeight="1">
      <c r="A27" s="24" t="s">
        <v>236</v>
      </c>
      <c r="B27" s="205">
        <v>-24907761.964844778</v>
      </c>
      <c r="C27" s="250"/>
    </row>
    <row r="28" spans="1:9" s="25" customFormat="1" ht="14.15" customHeight="1">
      <c r="A28" s="99" t="s">
        <v>237</v>
      </c>
      <c r="B28" s="100">
        <f>B26+B27</f>
        <v>27138851480.060482</v>
      </c>
      <c r="C28" s="250"/>
      <c r="D28" s="133"/>
      <c r="E28" s="133"/>
    </row>
    <row r="29" spans="1:9" s="25" customFormat="1" ht="14.15" customHeight="1">
      <c r="A29" s="99"/>
      <c r="B29" s="100"/>
      <c r="C29" s="250"/>
      <c r="D29" s="133"/>
      <c r="E29"/>
      <c r="F29"/>
      <c r="G29"/>
      <c r="H29"/>
      <c r="I29"/>
    </row>
    <row r="30" spans="1:9">
      <c r="A30" s="245" t="s">
        <v>460</v>
      </c>
      <c r="B30" s="104" t="s">
        <v>0</v>
      </c>
      <c r="C30" s="104" t="s">
        <v>179</v>
      </c>
      <c r="D30" s="277"/>
      <c r="E30" s="277"/>
      <c r="F30" s="149"/>
      <c r="G30" s="149"/>
    </row>
    <row r="31" spans="1:9">
      <c r="A31" s="531" t="s">
        <v>457</v>
      </c>
      <c r="B31" s="532">
        <v>-23400000</v>
      </c>
      <c r="C31" s="481" t="s">
        <v>383</v>
      </c>
      <c r="D31" s="276"/>
      <c r="E31" s="105"/>
      <c r="F31" s="149"/>
      <c r="G31" s="149"/>
    </row>
    <row r="32" spans="1:9">
      <c r="A32" s="479" t="s">
        <v>456</v>
      </c>
      <c r="B32" s="501">
        <f>-30000000+1400000-16200000-6100000</f>
        <v>-50900000</v>
      </c>
      <c r="C32" s="481" t="s">
        <v>385</v>
      </c>
      <c r="D32" s="105"/>
      <c r="E32" s="458"/>
      <c r="F32" s="149"/>
      <c r="G32" s="149"/>
    </row>
    <row r="33" spans="1:7">
      <c r="A33" s="479" t="s">
        <v>210</v>
      </c>
      <c r="B33" s="480">
        <v>-800000</v>
      </c>
      <c r="C33" s="481" t="s">
        <v>383</v>
      </c>
      <c r="D33" s="105"/>
      <c r="E33" s="458"/>
      <c r="F33" s="149"/>
      <c r="G33" s="149"/>
    </row>
    <row r="34" spans="1:7">
      <c r="A34" s="500" t="s">
        <v>413</v>
      </c>
      <c r="B34" s="501">
        <v>1000000</v>
      </c>
      <c r="C34" s="502" t="s">
        <v>383</v>
      </c>
      <c r="D34" s="276"/>
      <c r="E34" s="105"/>
      <c r="F34" s="149"/>
      <c r="G34" s="149"/>
    </row>
    <row r="35" spans="1:7">
      <c r="A35" s="500" t="s">
        <v>412</v>
      </c>
      <c r="B35" s="501">
        <v>-1000000</v>
      </c>
      <c r="C35" s="502" t="s">
        <v>383</v>
      </c>
      <c r="D35" s="105"/>
      <c r="E35" s="105"/>
      <c r="F35" s="149"/>
      <c r="G35" s="149"/>
    </row>
    <row r="36" spans="1:7">
      <c r="A36" s="479" t="s">
        <v>458</v>
      </c>
      <c r="B36" s="480">
        <f>12832000-1850000</f>
        <v>10982000</v>
      </c>
      <c r="C36" s="481" t="s">
        <v>383</v>
      </c>
      <c r="D36" s="105"/>
      <c r="E36" s="105"/>
      <c r="F36" s="149"/>
      <c r="G36" s="149"/>
    </row>
    <row r="37" spans="1:7">
      <c r="A37" s="479" t="s">
        <v>452</v>
      </c>
      <c r="B37" s="480">
        <f>-10000000+16400000</f>
        <v>6400000</v>
      </c>
      <c r="C37" s="481" t="s">
        <v>384</v>
      </c>
      <c r="D37" s="105"/>
      <c r="E37" s="105"/>
      <c r="F37" s="149"/>
      <c r="G37" s="149"/>
    </row>
    <row r="38" spans="1:7">
      <c r="A38" s="479" t="s">
        <v>408</v>
      </c>
      <c r="B38" s="480">
        <v>-20200000</v>
      </c>
      <c r="C38" s="481" t="s">
        <v>384</v>
      </c>
      <c r="D38" s="105"/>
      <c r="E38" s="105"/>
      <c r="F38" s="149"/>
      <c r="G38" s="149"/>
    </row>
    <row r="39" spans="1:7">
      <c r="A39" s="479" t="s">
        <v>459</v>
      </c>
      <c r="B39" s="480">
        <v>-319000</v>
      </c>
      <c r="C39" s="481" t="s">
        <v>384</v>
      </c>
      <c r="D39" s="105"/>
      <c r="E39" s="105"/>
      <c r="F39" s="149"/>
      <c r="G39" s="149"/>
    </row>
    <row r="40" spans="1:7">
      <c r="A40" s="479" t="s">
        <v>406</v>
      </c>
      <c r="B40" s="480">
        <v>-1600000</v>
      </c>
      <c r="C40" s="481" t="s">
        <v>384</v>
      </c>
      <c r="D40" s="105"/>
      <c r="E40" s="105"/>
      <c r="F40" s="149"/>
      <c r="G40" s="149"/>
    </row>
    <row r="41" spans="1:7">
      <c r="A41" s="479" t="s">
        <v>407</v>
      </c>
      <c r="B41" s="501">
        <f>-5000000*((B8+B12+B13+B20+SUM(B31:B40)+SUM(B42:B46))/((B8+B12+B13+B20+SUM(B31:B40)+SUM(B42:B46)+B9+B14+B21)))</f>
        <v>-4889969.1011943789</v>
      </c>
      <c r="C41" s="481" t="s">
        <v>158</v>
      </c>
      <c r="D41" s="105"/>
      <c r="E41" s="105"/>
      <c r="F41" s="149"/>
      <c r="G41" s="149"/>
    </row>
    <row r="42" spans="1:7">
      <c r="A42" s="479" t="s">
        <v>403</v>
      </c>
      <c r="B42" s="501">
        <f>16000000-200000</f>
        <v>15800000</v>
      </c>
      <c r="C42" s="481" t="s">
        <v>384</v>
      </c>
      <c r="D42" s="105"/>
      <c r="E42" s="105"/>
      <c r="F42" s="149"/>
      <c r="G42" s="149"/>
    </row>
    <row r="43" spans="1:7">
      <c r="A43" s="479" t="s">
        <v>402</v>
      </c>
      <c r="B43" s="501">
        <v>-1500000</v>
      </c>
      <c r="C43" s="481" t="s">
        <v>383</v>
      </c>
      <c r="D43" s="105"/>
      <c r="E43" s="105"/>
      <c r="F43" s="149"/>
      <c r="G43" s="149"/>
    </row>
    <row r="44" spans="1:7">
      <c r="A44" s="479" t="s">
        <v>454</v>
      </c>
      <c r="B44" s="501">
        <v>1000000</v>
      </c>
      <c r="C44" s="481" t="s">
        <v>382</v>
      </c>
      <c r="D44" s="276"/>
      <c r="F44" s="149"/>
      <c r="G44" s="149"/>
    </row>
    <row r="45" spans="1:7">
      <c r="A45" s="479" t="s">
        <v>453</v>
      </c>
      <c r="B45" s="501">
        <v>10000</v>
      </c>
      <c r="C45" s="481" t="s">
        <v>383</v>
      </c>
      <c r="D45" s="105"/>
      <c r="E45" s="105"/>
      <c r="F45" s="149"/>
      <c r="G45" s="149"/>
    </row>
    <row r="46" spans="1:7">
      <c r="A46" s="479" t="s">
        <v>455</v>
      </c>
      <c r="B46" s="501">
        <v>-2550000</v>
      </c>
      <c r="C46" s="481" t="s">
        <v>383</v>
      </c>
      <c r="D46" s="105"/>
      <c r="E46" s="105"/>
      <c r="F46" s="149"/>
      <c r="G46" s="149"/>
    </row>
    <row r="47" spans="1:7">
      <c r="A47" s="482" t="s">
        <v>426</v>
      </c>
      <c r="B47" s="518">
        <f>SUM(B31:B46)</f>
        <v>-71966969.101194382</v>
      </c>
      <c r="C47" s="483"/>
      <c r="D47" s="105"/>
      <c r="E47" s="105"/>
      <c r="F47" s="149"/>
      <c r="G47" s="149"/>
    </row>
    <row r="48" spans="1:7">
      <c r="B48" s="232"/>
      <c r="D48" s="105"/>
      <c r="E48" s="105"/>
      <c r="F48" s="149"/>
      <c r="G48" s="149"/>
    </row>
    <row r="49" spans="1:8">
      <c r="A49" s="505" t="s">
        <v>461</v>
      </c>
      <c r="B49" s="277" t="s">
        <v>0</v>
      </c>
      <c r="C49" s="506" t="s">
        <v>179</v>
      </c>
      <c r="D49" s="105"/>
      <c r="E49" s="105"/>
      <c r="F49" s="149"/>
      <c r="G49" s="149"/>
    </row>
    <row r="50" spans="1:8">
      <c r="A50" s="479" t="s">
        <v>407</v>
      </c>
      <c r="B50" s="519">
        <f>-5000000*((B9+B14+B21)/(B9+B14+B21+B8+B12+B13+B20+SUM(B31:B40)+SUM(B42:B46)))</f>
        <v>-110030.8988056215</v>
      </c>
      <c r="C50" s="507" t="s">
        <v>158</v>
      </c>
      <c r="D50" s="105"/>
      <c r="E50" s="458"/>
      <c r="F50" s="149"/>
      <c r="G50" s="149"/>
    </row>
    <row r="51" spans="1:8">
      <c r="A51" s="503" t="s">
        <v>427</v>
      </c>
      <c r="B51" s="504">
        <f>B50</f>
        <v>-110030.8988056215</v>
      </c>
      <c r="D51" s="105"/>
      <c r="E51" s="458"/>
      <c r="F51" s="149"/>
      <c r="G51" s="149"/>
    </row>
    <row r="52" spans="1:8">
      <c r="D52" s="105"/>
      <c r="E52" s="458"/>
      <c r="F52" s="149"/>
      <c r="G52" s="149"/>
    </row>
    <row r="53" spans="1:8">
      <c r="D53" s="105"/>
      <c r="E53" s="105"/>
      <c r="F53" s="149"/>
      <c r="G53" s="149"/>
    </row>
    <row r="54" spans="1:8">
      <c r="D54" s="105"/>
      <c r="E54" s="458"/>
      <c r="F54" s="149"/>
      <c r="G54" s="149"/>
    </row>
    <row r="55" spans="1:8">
      <c r="D55" s="105"/>
      <c r="E55" s="105"/>
      <c r="F55" s="149"/>
      <c r="G55" s="149"/>
    </row>
    <row r="56" spans="1:8">
      <c r="D56" s="105"/>
      <c r="E56" s="458"/>
      <c r="F56" s="263"/>
      <c r="G56" s="263"/>
      <c r="H56" s="128"/>
    </row>
    <row r="57" spans="1:8" ht="14.5">
      <c r="D57" s="105"/>
      <c r="E57" s="462"/>
      <c r="F57" s="463"/>
      <c r="G57" s="462"/>
      <c r="H57" s="128"/>
    </row>
    <row r="58" spans="1:8" ht="14.5">
      <c r="D58" s="105"/>
      <c r="E58" s="462"/>
      <c r="F58" s="463"/>
      <c r="G58" s="462"/>
      <c r="H58" s="128"/>
    </row>
    <row r="59" spans="1:8" ht="14.5">
      <c r="D59" s="105"/>
      <c r="E59" s="462"/>
      <c r="F59" s="463"/>
      <c r="G59" s="462"/>
      <c r="H59" s="128"/>
    </row>
    <row r="60" spans="1:8" ht="14.5">
      <c r="D60" s="149"/>
      <c r="E60" s="462"/>
      <c r="F60" s="463"/>
      <c r="G60" s="462"/>
      <c r="H60" s="128"/>
    </row>
    <row r="61" spans="1:8" ht="14.5">
      <c r="D61" s="149"/>
      <c r="E61" s="462"/>
      <c r="F61" s="463"/>
      <c r="G61" s="462"/>
      <c r="H61" s="128"/>
    </row>
    <row r="62" spans="1:8" ht="14.5">
      <c r="D62" s="149"/>
      <c r="E62" s="462"/>
      <c r="F62" s="463"/>
      <c r="G62" s="462"/>
      <c r="H62" s="128"/>
    </row>
    <row r="63" spans="1:8" ht="14.5">
      <c r="D63" s="149"/>
      <c r="E63" s="462"/>
      <c r="F63" s="463"/>
      <c r="G63" s="462"/>
      <c r="H63" s="128"/>
    </row>
    <row r="64" spans="1:8" ht="14.5">
      <c r="D64" s="149"/>
      <c r="E64" s="462"/>
      <c r="F64" s="463"/>
      <c r="G64" s="462"/>
      <c r="H64" s="128"/>
    </row>
    <row r="65" spans="4:8" ht="14.5">
      <c r="D65" s="149"/>
      <c r="E65" s="462"/>
      <c r="F65" s="463"/>
      <c r="G65" s="462"/>
      <c r="H65" s="128"/>
    </row>
    <row r="66" spans="4:8" ht="14.5">
      <c r="D66" s="149"/>
      <c r="E66" s="462"/>
      <c r="F66" s="463"/>
      <c r="G66" s="462"/>
      <c r="H66" s="128"/>
    </row>
    <row r="67" spans="4:8" ht="14.5">
      <c r="D67" s="149"/>
      <c r="E67" s="462"/>
      <c r="F67" s="463"/>
      <c r="G67" s="462"/>
      <c r="H67" s="128"/>
    </row>
    <row r="68" spans="4:8" ht="14.5">
      <c r="D68" s="149"/>
      <c r="E68" s="462"/>
      <c r="F68" s="463"/>
      <c r="G68" s="462"/>
      <c r="H68" s="128"/>
    </row>
    <row r="69" spans="4:8" ht="14.5">
      <c r="D69" s="149"/>
      <c r="E69" s="462"/>
      <c r="F69" s="463"/>
      <c r="G69" s="462"/>
      <c r="H69" s="128"/>
    </row>
    <row r="70" spans="4:8">
      <c r="D70" s="149"/>
      <c r="E70" s="464"/>
      <c r="F70" s="465"/>
      <c r="G70" s="465"/>
      <c r="H70" s="128"/>
    </row>
    <row r="71" spans="4:8" ht="52.5" customHeight="1">
      <c r="D71" s="149"/>
      <c r="E71" s="149"/>
      <c r="F71" s="149"/>
      <c r="G71" s="149"/>
    </row>
  </sheetData>
  <mergeCells count="2">
    <mergeCell ref="A3:B3"/>
    <mergeCell ref="A4:B4"/>
  </mergeCells>
  <phoneticPr fontId="55" type="noConversion"/>
  <pageMargins left="0.7" right="0.7" top="0.75" bottom="0.75" header="0.3" footer="0.3"/>
  <pageSetup paperSize="9" orientation="portrait" r:id="rId1"/>
  <ignoredErrors>
    <ignoredError sqref="B50:B51" calculatedColumn="1"/>
  </ignoredErrors>
  <tableParts count="4">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K49"/>
  <sheetViews>
    <sheetView zoomScale="85" zoomScaleNormal="85" workbookViewId="0"/>
  </sheetViews>
  <sheetFormatPr defaultRowHeight="14"/>
  <cols>
    <col min="1" max="1" width="44.83203125" customWidth="1"/>
    <col min="2" max="2" width="28.75" customWidth="1"/>
    <col min="3" max="3" width="20.5" customWidth="1"/>
    <col min="4" max="4" width="20.58203125" customWidth="1"/>
    <col min="5" max="5" width="22.33203125" customWidth="1"/>
    <col min="6" max="6" width="23" customWidth="1"/>
    <col min="7" max="7" width="22" customWidth="1"/>
    <col min="8" max="8" width="21.75" customWidth="1"/>
    <col min="9" max="9" width="23.33203125" customWidth="1"/>
    <col min="10" max="10" width="23.58203125" customWidth="1"/>
    <col min="11" max="11" width="20" customWidth="1"/>
    <col min="12" max="12" width="8.75" bestFit="1" customWidth="1"/>
  </cols>
  <sheetData>
    <row r="1" spans="1:11" ht="20">
      <c r="A1" s="185" t="s">
        <v>266</v>
      </c>
    </row>
    <row r="2" spans="1:11">
      <c r="A2" s="136" t="str">
        <f>INFO!A2</f>
        <v>VM/HVO 22.9.2025</v>
      </c>
      <c r="C2" s="101"/>
    </row>
    <row r="3" spans="1:11" ht="67.5" customHeight="1">
      <c r="A3" s="537" t="s">
        <v>410</v>
      </c>
      <c r="B3" s="537"/>
      <c r="C3" s="537"/>
      <c r="D3" s="537"/>
      <c r="E3" s="537"/>
      <c r="F3" s="537"/>
    </row>
    <row r="4" spans="1:11" ht="52.5" customHeight="1">
      <c r="A4" s="537" t="s">
        <v>411</v>
      </c>
      <c r="B4" s="537"/>
      <c r="C4" s="537"/>
      <c r="D4" s="537"/>
      <c r="E4" s="537"/>
      <c r="F4" s="537"/>
    </row>
    <row r="5" spans="1:11" ht="85" customHeight="1">
      <c r="A5" s="533" t="s">
        <v>449</v>
      </c>
      <c r="B5" s="533"/>
      <c r="C5" s="533"/>
      <c r="D5" s="533"/>
      <c r="E5" s="533"/>
      <c r="F5" s="533"/>
    </row>
    <row r="6" spans="1:11" ht="51" customHeight="1">
      <c r="A6" s="533" t="s">
        <v>438</v>
      </c>
      <c r="B6" s="533"/>
      <c r="C6" s="533"/>
      <c r="D6" s="533"/>
      <c r="E6" s="533"/>
      <c r="F6" s="533"/>
      <c r="G6" s="422"/>
    </row>
    <row r="8" spans="1:11">
      <c r="B8" s="278"/>
      <c r="C8" s="278"/>
      <c r="E8" s="279"/>
      <c r="G8" s="423"/>
      <c r="I8" s="209"/>
      <c r="K8" s="208"/>
    </row>
    <row r="9" spans="1:11" ht="14.5" thickBot="1">
      <c r="A9" s="210" t="s">
        <v>267</v>
      </c>
      <c r="B9" s="210"/>
      <c r="C9" s="466"/>
      <c r="D9" s="466"/>
      <c r="E9" s="466"/>
      <c r="G9" s="421"/>
      <c r="I9" s="209"/>
      <c r="K9" s="208"/>
    </row>
    <row r="10" spans="1:11">
      <c r="A10" s="320"/>
      <c r="B10" s="320"/>
      <c r="C10" s="467">
        <v>2024</v>
      </c>
      <c r="D10" s="468">
        <v>2025</v>
      </c>
      <c r="E10" s="467">
        <v>2026</v>
      </c>
      <c r="G10" s="424"/>
      <c r="I10" s="209"/>
      <c r="K10" s="208"/>
    </row>
    <row r="11" spans="1:11">
      <c r="A11" s="319" t="s">
        <v>425</v>
      </c>
      <c r="B11" s="278"/>
      <c r="C11" s="509">
        <v>2.53E-2</v>
      </c>
      <c r="D11" s="510">
        <v>0.03</v>
      </c>
      <c r="E11" s="243">
        <v>3.2500000000000001E-2</v>
      </c>
      <c r="G11" s="242"/>
      <c r="I11" s="209"/>
      <c r="K11" s="208"/>
    </row>
    <row r="12" spans="1:11">
      <c r="A12" s="319" t="s">
        <v>424</v>
      </c>
      <c r="B12" s="278"/>
      <c r="C12" s="243">
        <v>1.9199999999999998E-2</v>
      </c>
      <c r="D12" s="243">
        <v>2.2200000000000001E-2</v>
      </c>
      <c r="E12" s="243"/>
      <c r="G12" s="242"/>
      <c r="I12" s="209"/>
      <c r="K12" s="208"/>
    </row>
    <row r="13" spans="1:11">
      <c r="A13" s="319" t="s">
        <v>414</v>
      </c>
      <c r="B13" s="278"/>
      <c r="C13" s="243">
        <f>1.05%+0.2%</f>
        <v>1.2500000000000001E-2</v>
      </c>
      <c r="D13" s="243">
        <f>(1.07%+0.2%)*80%</f>
        <v>1.0160000000000002E-2</v>
      </c>
      <c r="E13" s="243">
        <f>(1.02%+0.2%)*80%</f>
        <v>9.7600000000000013E-3</v>
      </c>
    </row>
    <row r="14" spans="1:11">
      <c r="G14" s="242"/>
      <c r="I14" s="209"/>
      <c r="K14" s="208"/>
    </row>
    <row r="15" spans="1:11">
      <c r="A15" s="313"/>
      <c r="B15" s="469">
        <v>2023</v>
      </c>
      <c r="C15" s="469" t="s">
        <v>409</v>
      </c>
      <c r="D15" s="469">
        <v>2025</v>
      </c>
      <c r="E15" s="470">
        <v>2026</v>
      </c>
      <c r="G15" s="242"/>
      <c r="I15" s="209"/>
      <c r="K15" s="208"/>
    </row>
    <row r="16" spans="1:11">
      <c r="A16" t="s">
        <v>252</v>
      </c>
      <c r="B16" s="314">
        <v>23935162091.099754</v>
      </c>
      <c r="C16" s="314">
        <v>24642646696.550003</v>
      </c>
      <c r="D16" s="314"/>
      <c r="E16" s="318"/>
      <c r="G16" s="242"/>
      <c r="I16" s="209"/>
      <c r="K16" s="208"/>
    </row>
    <row r="17" spans="1:11">
      <c r="A17" t="s">
        <v>253</v>
      </c>
      <c r="B17" s="314">
        <v>550030959.75024998</v>
      </c>
      <c r="C17" s="314">
        <v>563946446.44000006</v>
      </c>
      <c r="D17" s="314"/>
      <c r="E17" s="318"/>
      <c r="G17" s="242"/>
      <c r="I17" s="209"/>
      <c r="K17" s="208"/>
    </row>
    <row r="18" spans="1:11">
      <c r="A18" t="s">
        <v>256</v>
      </c>
      <c r="B18" s="314">
        <v>24485193050.850006</v>
      </c>
      <c r="C18" s="314">
        <v>25206593142.990002</v>
      </c>
      <c r="D18" s="208"/>
      <c r="E18" s="436"/>
      <c r="G18" s="242"/>
      <c r="I18" s="209"/>
      <c r="K18" s="208"/>
    </row>
    <row r="19" spans="1:11" ht="18.649999999999999" customHeight="1">
      <c r="E19" s="128"/>
      <c r="G19" s="242"/>
      <c r="I19" s="209"/>
      <c r="K19" s="208"/>
    </row>
    <row r="20" spans="1:11" ht="17.5" customHeight="1">
      <c r="A20" s="316" t="s">
        <v>258</v>
      </c>
      <c r="B20" s="317">
        <v>22670306001.888947</v>
      </c>
      <c r="C20" s="318">
        <v>23570022112.589275</v>
      </c>
      <c r="D20" s="314"/>
      <c r="E20" s="318"/>
      <c r="G20" s="242"/>
      <c r="I20" s="209"/>
      <c r="K20" s="208"/>
    </row>
    <row r="21" spans="1:11">
      <c r="A21" s="316" t="s">
        <v>259</v>
      </c>
      <c r="B21" s="317">
        <v>498545787.23582369</v>
      </c>
      <c r="C21" s="318">
        <v>513985901.31177771</v>
      </c>
      <c r="D21" s="314"/>
      <c r="E21" s="318"/>
      <c r="G21" s="242"/>
      <c r="I21" s="209"/>
      <c r="K21" s="208"/>
    </row>
    <row r="22" spans="1:11">
      <c r="A22" s="232" t="s">
        <v>257</v>
      </c>
      <c r="B22" s="209">
        <v>23168851789.124771</v>
      </c>
      <c r="C22" s="314">
        <v>24084008013.901054</v>
      </c>
      <c r="D22" s="208"/>
      <c r="E22" s="436"/>
      <c r="G22" s="242"/>
      <c r="I22" s="209"/>
      <c r="K22" s="208"/>
    </row>
    <row r="23" spans="1:11">
      <c r="D23" s="208"/>
      <c r="E23" s="436"/>
      <c r="G23" s="242"/>
      <c r="I23" s="209"/>
      <c r="K23" s="208"/>
    </row>
    <row r="24" spans="1:11">
      <c r="A24" t="s">
        <v>254</v>
      </c>
      <c r="B24" s="209">
        <v>-1264856089.2108078</v>
      </c>
      <c r="C24" s="209">
        <f>C20-C16</f>
        <v>-1072624583.9607277</v>
      </c>
      <c r="D24" s="209"/>
      <c r="E24" s="317"/>
      <c r="G24" s="242"/>
      <c r="I24" s="209"/>
      <c r="K24" s="208"/>
    </row>
    <row r="25" spans="1:11">
      <c r="A25" t="s">
        <v>255</v>
      </c>
      <c r="B25" s="209">
        <v>-51485172.514426291</v>
      </c>
      <c r="C25" s="209">
        <f>C21-C17</f>
        <v>-49960545.128222346</v>
      </c>
      <c r="D25" s="209"/>
      <c r="E25" s="317"/>
      <c r="G25" s="242"/>
      <c r="I25" s="209"/>
      <c r="K25" s="208"/>
    </row>
    <row r="26" spans="1:11">
      <c r="A26" t="s">
        <v>260</v>
      </c>
      <c r="B26" s="209">
        <v>-1316341261.725235</v>
      </c>
      <c r="C26" s="209">
        <f>C22-C18</f>
        <v>-1122585129.0889473</v>
      </c>
      <c r="D26" s="209"/>
      <c r="E26" s="317"/>
      <c r="G26" s="242"/>
      <c r="I26" s="209"/>
      <c r="K26" s="208"/>
    </row>
    <row r="27" spans="1:11">
      <c r="C27" s="209"/>
      <c r="D27" s="209"/>
      <c r="E27" s="128"/>
      <c r="G27" s="242"/>
      <c r="I27" s="209"/>
      <c r="K27" s="208"/>
    </row>
    <row r="28" spans="1:11">
      <c r="A28" s="433" t="s">
        <v>400</v>
      </c>
      <c r="C28" s="209"/>
      <c r="D28" s="209"/>
      <c r="E28" s="128"/>
      <c r="G28" s="242"/>
      <c r="I28" s="209"/>
      <c r="K28" s="208"/>
    </row>
    <row r="29" spans="1:11">
      <c r="A29" s="471" t="s">
        <v>263</v>
      </c>
      <c r="B29" s="472"/>
      <c r="C29" s="473"/>
      <c r="D29" s="473">
        <f>-B24*(1+C12)*(1+C13)*(1+D11)*(1+D13)</f>
        <v>1358072499.2076964</v>
      </c>
      <c r="E29" s="474">
        <f>-(C24-B24)*(1+D12)*(1+D13)*(1+E11)*(1+E13)</f>
        <v>-206946856.49693069</v>
      </c>
      <c r="G29" s="242"/>
      <c r="I29" s="209"/>
      <c r="K29" s="208"/>
    </row>
    <row r="30" spans="1:11">
      <c r="A30" s="472" t="s">
        <v>391</v>
      </c>
      <c r="B30" s="472"/>
      <c r="C30" s="473"/>
      <c r="D30" s="473">
        <f>D29</f>
        <v>1358072499.2076964</v>
      </c>
      <c r="E30" s="475">
        <f>D40*(1+E11)*(1+E13)+E29</f>
        <v>1208948567.1240318</v>
      </c>
      <c r="G30" s="242"/>
      <c r="I30" s="209"/>
      <c r="K30" s="208"/>
    </row>
    <row r="31" spans="1:11">
      <c r="A31" s="472"/>
      <c r="B31" s="472"/>
      <c r="C31" s="473"/>
      <c r="D31" s="473"/>
      <c r="E31" s="475"/>
      <c r="G31" s="242"/>
      <c r="I31" s="209"/>
      <c r="K31" s="208"/>
    </row>
    <row r="32" spans="1:11">
      <c r="A32" s="471" t="s">
        <v>264</v>
      </c>
      <c r="B32" s="472"/>
      <c r="C32" s="473"/>
      <c r="D32" s="473">
        <f>-B25*(1+C12)*(1+D11)</f>
        <v>54047898.461504377</v>
      </c>
      <c r="E32" s="474">
        <f>-(C25-B25)*(1+D12)*(1+E11)</f>
        <v>-1609124.5228884465</v>
      </c>
      <c r="G32" s="242"/>
      <c r="I32" s="209"/>
      <c r="K32" s="208"/>
    </row>
    <row r="33" spans="1:11">
      <c r="A33" s="472" t="s">
        <v>392</v>
      </c>
      <c r="B33" s="472"/>
      <c r="C33" s="473"/>
      <c r="D33" s="473">
        <f>D32</f>
        <v>54047898.461504377</v>
      </c>
      <c r="E33" s="475">
        <f>D43*(1+E11)+E32</f>
        <v>54195330.638614826</v>
      </c>
      <c r="G33" s="242"/>
      <c r="I33" s="209"/>
      <c r="K33" s="208"/>
    </row>
    <row r="34" spans="1:11">
      <c r="A34" s="472"/>
      <c r="B34" s="472"/>
      <c r="C34" s="473"/>
      <c r="D34" s="473"/>
      <c r="E34" s="474"/>
      <c r="G34" s="242"/>
      <c r="I34" s="209"/>
      <c r="K34" s="208"/>
    </row>
    <row r="35" spans="1:11">
      <c r="A35" s="434" t="s">
        <v>261</v>
      </c>
      <c r="B35" s="434"/>
      <c r="C35" s="435"/>
      <c r="D35" s="435">
        <f>D29+D32</f>
        <v>1412120397.6692009</v>
      </c>
      <c r="E35" s="454">
        <f>E29+E32</f>
        <v>-208555981.01981914</v>
      </c>
      <c r="G35" s="242"/>
      <c r="I35" s="209"/>
      <c r="K35" s="208"/>
    </row>
    <row r="36" spans="1:11">
      <c r="A36" s="434" t="s">
        <v>262</v>
      </c>
      <c r="B36" s="434"/>
      <c r="C36" s="435"/>
      <c r="D36" s="435">
        <f>D35</f>
        <v>1412120397.6692009</v>
      </c>
      <c r="E36" s="455">
        <f>E30+E33</f>
        <v>1263143897.7626467</v>
      </c>
      <c r="G36" s="242"/>
      <c r="I36" s="209"/>
      <c r="K36" s="208"/>
    </row>
    <row r="37" spans="1:11" ht="14.5" thickBot="1">
      <c r="C37" s="209"/>
      <c r="D37" s="209"/>
      <c r="E37" s="128"/>
      <c r="G37" s="242"/>
      <c r="I37" s="209"/>
      <c r="K37" s="208"/>
    </row>
    <row r="38" spans="1:11" ht="14.5">
      <c r="A38" s="438" t="s">
        <v>399</v>
      </c>
      <c r="B38" s="439"/>
      <c r="C38" s="439"/>
      <c r="D38" s="440"/>
      <c r="E38" s="441">
        <v>0.95</v>
      </c>
      <c r="G38" s="242"/>
      <c r="I38" s="209"/>
      <c r="K38" s="208"/>
    </row>
    <row r="39" spans="1:11">
      <c r="A39" s="442" t="s">
        <v>263</v>
      </c>
      <c r="B39" s="128"/>
      <c r="C39" s="128"/>
      <c r="D39" s="317">
        <f>-B24*(1+C12)*(1+C13)*(1+D11)*(1+D13)</f>
        <v>1358072499.2076964</v>
      </c>
      <c r="E39" s="443">
        <f>-(C24-B24)*(1+D12)*(1+D13)*(1+E11)*(1+E13)*E38</f>
        <v>-196599513.67208415</v>
      </c>
      <c r="G39" s="242"/>
      <c r="I39" s="209"/>
      <c r="K39" s="208"/>
    </row>
    <row r="40" spans="1:11">
      <c r="A40" s="444" t="s">
        <v>391</v>
      </c>
      <c r="B40" s="128"/>
      <c r="C40" s="128"/>
      <c r="D40" s="317">
        <f>D39</f>
        <v>1358072499.2076964</v>
      </c>
      <c r="E40" s="445">
        <f>D40*(1+E11)*(1+E13)+E39</f>
        <v>1219295909.9488783</v>
      </c>
      <c r="G40" s="242"/>
      <c r="I40" s="209"/>
      <c r="K40" s="208"/>
    </row>
    <row r="41" spans="1:11">
      <c r="A41" s="444"/>
      <c r="B41" s="128"/>
      <c r="C41" s="128"/>
      <c r="D41" s="317"/>
      <c r="E41" s="445"/>
      <c r="G41" s="242"/>
      <c r="I41" s="209"/>
      <c r="K41" s="208"/>
    </row>
    <row r="42" spans="1:11">
      <c r="A42" s="442" t="s">
        <v>264</v>
      </c>
      <c r="B42" s="128"/>
      <c r="C42" s="128"/>
      <c r="D42" s="317">
        <f>-B25*(1+C12)*(1+D11)</f>
        <v>54047898.461504377</v>
      </c>
      <c r="E42" s="443">
        <f>-(C25-B25)*(1+D12)*(1+E11)*E38</f>
        <v>-1528668.2967440241</v>
      </c>
      <c r="G42" s="242"/>
      <c r="I42" s="209"/>
      <c r="K42" s="208"/>
    </row>
    <row r="43" spans="1:11">
      <c r="A43" s="444" t="s">
        <v>392</v>
      </c>
      <c r="B43" s="128"/>
      <c r="C43" s="128"/>
      <c r="D43" s="317">
        <f>D42</f>
        <v>54047898.461504377</v>
      </c>
      <c r="E43" s="445">
        <f>D43*(1+E11)+E42</f>
        <v>54275786.864759244</v>
      </c>
      <c r="G43" s="242"/>
      <c r="I43" s="209"/>
      <c r="K43" s="208"/>
    </row>
    <row r="44" spans="1:11">
      <c r="A44" s="444"/>
      <c r="B44" s="128"/>
      <c r="C44" s="128"/>
      <c r="D44" s="317"/>
      <c r="E44" s="443"/>
      <c r="G44" s="242"/>
      <c r="I44" s="209"/>
      <c r="K44" s="208"/>
    </row>
    <row r="45" spans="1:11">
      <c r="A45" s="446" t="s">
        <v>261</v>
      </c>
      <c r="B45" s="447"/>
      <c r="C45" s="447"/>
      <c r="D45" s="448">
        <f>D39+D42</f>
        <v>1412120397.6692009</v>
      </c>
      <c r="E45" s="449">
        <f>E39+E42</f>
        <v>-198128181.96882817</v>
      </c>
      <c r="G45" s="242"/>
      <c r="I45" s="209"/>
      <c r="K45" s="208"/>
    </row>
    <row r="46" spans="1:11" ht="14.5" thickBot="1">
      <c r="A46" s="450" t="s">
        <v>262</v>
      </c>
      <c r="B46" s="451"/>
      <c r="C46" s="451"/>
      <c r="D46" s="452">
        <f>D45</f>
        <v>1412120397.6692009</v>
      </c>
      <c r="E46" s="453">
        <f>E40+E43</f>
        <v>1273571696.8136375</v>
      </c>
      <c r="F46" s="209"/>
      <c r="G46" s="242"/>
      <c r="I46" s="209"/>
      <c r="K46" s="208"/>
    </row>
    <row r="47" spans="1:11" s="149" customFormat="1">
      <c r="A47" s="425"/>
      <c r="B47" s="425"/>
      <c r="C47" s="425"/>
      <c r="D47" s="426"/>
      <c r="E47" s="242"/>
      <c r="G47" s="242"/>
      <c r="I47" s="427"/>
      <c r="K47" s="428"/>
    </row>
    <row r="48" spans="1:11">
      <c r="A48" s="315" t="s">
        <v>401</v>
      </c>
      <c r="B48" s="429"/>
      <c r="C48" s="429"/>
      <c r="D48" s="430"/>
      <c r="E48" s="437">
        <f>E46-E36</f>
        <v>10427799.05099082</v>
      </c>
      <c r="G48" s="242"/>
      <c r="I48" s="209"/>
      <c r="K48" s="208"/>
    </row>
    <row r="49" ht="36.65" customHeight="1"/>
  </sheetData>
  <mergeCells count="4">
    <mergeCell ref="A3:F3"/>
    <mergeCell ref="A5:F5"/>
    <mergeCell ref="A6:F6"/>
    <mergeCell ref="A4:F4"/>
  </mergeCell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66FE0-0CD6-42FF-8C7E-D5BF1B93C867}">
  <sheetPr>
    <tabColor theme="8"/>
  </sheetPr>
  <dimension ref="A1:AI107"/>
  <sheetViews>
    <sheetView zoomScale="85" zoomScaleNormal="85" workbookViewId="0"/>
  </sheetViews>
  <sheetFormatPr defaultRowHeight="15.5"/>
  <cols>
    <col min="1" max="1" width="58.58203125" style="27" customWidth="1"/>
    <col min="2" max="2" width="30.08203125" style="27" customWidth="1"/>
    <col min="3" max="3" width="35.33203125" style="27" customWidth="1"/>
    <col min="4" max="5" width="35.25" style="27" customWidth="1"/>
    <col min="6" max="6" width="32.25" style="27" customWidth="1"/>
    <col min="7" max="7" width="25.83203125" style="27" customWidth="1"/>
    <col min="8" max="13" width="24.5" style="27" customWidth="1"/>
    <col min="14" max="14" width="19.83203125" style="27" customWidth="1"/>
    <col min="15" max="15" width="21.08203125" customWidth="1"/>
    <col min="16" max="16" width="24.58203125" customWidth="1"/>
    <col min="17" max="25" width="20.5" customWidth="1"/>
    <col min="26" max="27" width="17.33203125" customWidth="1"/>
    <col min="31" max="31" width="13.08203125" bestFit="1" customWidth="1"/>
    <col min="32" max="32" width="11.58203125" bestFit="1" customWidth="1"/>
    <col min="33" max="33" width="13.08203125" bestFit="1" customWidth="1"/>
    <col min="35" max="35" width="11.83203125" customWidth="1"/>
  </cols>
  <sheetData>
    <row r="1" spans="1:14" ht="20">
      <c r="A1" s="185" t="s">
        <v>398</v>
      </c>
      <c r="D1" s="29"/>
      <c r="E1" s="29"/>
      <c r="F1" s="29"/>
    </row>
    <row r="2" spans="1:14" s="32" customFormat="1">
      <c r="A2" s="1" t="str">
        <f>INFO!A2</f>
        <v>VM/HVO 22.9.2025</v>
      </c>
      <c r="B2" s="33"/>
      <c r="C2" s="33"/>
      <c r="D2" s="33"/>
      <c r="E2" s="33"/>
      <c r="F2" s="33"/>
      <c r="G2" s="33"/>
      <c r="H2" s="33"/>
      <c r="I2" s="33"/>
      <c r="J2" s="33"/>
      <c r="K2" s="33"/>
      <c r="L2" s="27"/>
      <c r="M2" s="27"/>
      <c r="N2" s="27"/>
    </row>
    <row r="3" spans="1:14" s="32" customFormat="1" ht="80.150000000000006" customHeight="1">
      <c r="A3" s="538" t="s">
        <v>450</v>
      </c>
      <c r="B3" s="538"/>
      <c r="C3" s="538"/>
      <c r="D3" s="27"/>
      <c r="E3" s="27"/>
      <c r="F3" s="27"/>
      <c r="G3" s="27"/>
      <c r="H3" s="27"/>
      <c r="I3" s="27"/>
      <c r="J3" s="27"/>
      <c r="K3" s="27"/>
      <c r="L3" s="27"/>
      <c r="M3" s="27"/>
      <c r="N3" s="27"/>
    </row>
    <row r="4" spans="1:14" s="32" customFormat="1">
      <c r="A4" s="34"/>
      <c r="B4" s="27"/>
      <c r="C4"/>
      <c r="D4" s="27"/>
      <c r="E4" s="27"/>
      <c r="F4" s="27"/>
      <c r="G4" s="27"/>
      <c r="H4" s="27"/>
      <c r="I4" s="27"/>
      <c r="J4" s="27"/>
      <c r="K4" s="27"/>
      <c r="L4" s="27"/>
      <c r="M4" s="27"/>
      <c r="N4" s="27"/>
    </row>
    <row r="5" spans="1:14" s="32" customFormat="1" ht="17" thickBot="1">
      <c r="A5" s="175" t="s">
        <v>200</v>
      </c>
      <c r="B5" s="40"/>
      <c r="C5"/>
      <c r="D5" s="35"/>
      <c r="E5" s="28"/>
      <c r="F5" s="28"/>
      <c r="G5" s="28"/>
      <c r="H5" s="28"/>
      <c r="I5" s="28"/>
      <c r="J5" s="28"/>
      <c r="K5" s="28"/>
      <c r="L5" s="28"/>
      <c r="M5" s="28"/>
      <c r="N5" s="28"/>
    </row>
    <row r="6" spans="1:14" s="32" customFormat="1" ht="16" thickTop="1">
      <c r="A6" s="170" t="s">
        <v>233</v>
      </c>
      <c r="B6" s="171" t="s">
        <v>0</v>
      </c>
      <c r="C6"/>
      <c r="D6" s="28"/>
      <c r="E6" s="27"/>
      <c r="F6" s="27"/>
      <c r="G6" s="28"/>
      <c r="H6" s="28"/>
      <c r="I6" s="28"/>
      <c r="J6" s="28"/>
      <c r="K6" s="28"/>
      <c r="L6" s="28"/>
      <c r="M6" s="28"/>
    </row>
    <row r="7" spans="1:14" s="32" customFormat="1">
      <c r="A7" s="144" t="s">
        <v>36</v>
      </c>
      <c r="B7" s="239">
        <f>Määräytymistekijät!C30</f>
        <v>5605317</v>
      </c>
      <c r="C7"/>
      <c r="D7" s="460"/>
      <c r="E7" s="27"/>
      <c r="F7" s="27"/>
      <c r="G7" s="28"/>
      <c r="H7" s="28"/>
      <c r="I7" s="28"/>
      <c r="J7" s="28"/>
      <c r="K7" s="28"/>
      <c r="L7" s="28"/>
      <c r="M7" s="28"/>
    </row>
    <row r="8" spans="1:14" s="32" customFormat="1">
      <c r="A8" s="144" t="s">
        <v>250</v>
      </c>
      <c r="B8" s="145">
        <f>'Rahoituksen taso 2026'!B8+'Rahoituksen taso 2026'!B12+'Rahoituksen taso 2026'!B13+'Rahoituksen taso 2026'!B20</f>
        <v>26637955642.25861</v>
      </c>
      <c r="C8" s="27"/>
      <c r="D8" s="280"/>
      <c r="E8" s="27"/>
      <c r="F8" s="27"/>
      <c r="G8" s="28"/>
      <c r="H8" s="28"/>
      <c r="I8" s="28"/>
      <c r="J8" s="28"/>
      <c r="K8" s="28"/>
      <c r="L8" s="28"/>
      <c r="M8" s="28"/>
    </row>
    <row r="9" spans="1:14" s="32" customFormat="1" ht="17.25" customHeight="1">
      <c r="A9" s="148" t="s">
        <v>251</v>
      </c>
      <c r="B9" s="493" t="s">
        <v>0</v>
      </c>
      <c r="C9" s="181"/>
      <c r="D9" s="105"/>
      <c r="E9" s="27"/>
      <c r="F9" s="27"/>
      <c r="G9" s="38"/>
      <c r="H9" s="27"/>
      <c r="I9" s="39"/>
      <c r="J9" s="39"/>
      <c r="K9" s="39"/>
      <c r="L9" s="39"/>
      <c r="M9" s="39"/>
    </row>
    <row r="10" spans="1:14" s="32" customFormat="1" ht="17.25" customHeight="1">
      <c r="A10" s="398" t="s">
        <v>383</v>
      </c>
      <c r="B10" s="398">
        <f>SUMIF(Sote_tehtävämuutokset[kohdennus],Sote_laskennallinen_rahoitus_yhteensä[[#This Row],[Laskennallinen sote-rahoitus vuonna 2026]],Sote_tehtävämuutokset[euroa])</f>
        <v>-17258000</v>
      </c>
      <c r="C10" s="181"/>
      <c r="D10" s="105"/>
      <c r="E10" s="27"/>
      <c r="F10" s="27"/>
      <c r="G10" s="38"/>
      <c r="H10" s="27"/>
      <c r="I10" s="39"/>
      <c r="J10" s="39"/>
      <c r="K10" s="39"/>
      <c r="L10" s="39"/>
      <c r="M10" s="39"/>
    </row>
    <row r="11" spans="1:14" s="32" customFormat="1" ht="17.25" customHeight="1">
      <c r="A11" s="398" t="s">
        <v>385</v>
      </c>
      <c r="B11" s="398">
        <f>SUMIF(Sote_tehtävämuutokset[kohdennus],Sote_laskennallinen_rahoitus_yhteensä[[#This Row],[Laskennallinen sote-rahoitus vuonna 2026]],Sote_tehtävämuutokset[euroa])</f>
        <v>-50900000</v>
      </c>
      <c r="C11" s="181"/>
      <c r="D11" s="410"/>
      <c r="E11" s="33"/>
      <c r="F11" s="257"/>
      <c r="G11" s="409"/>
      <c r="H11" s="27"/>
      <c r="I11" s="39"/>
      <c r="J11" s="39"/>
      <c r="K11" s="39"/>
      <c r="L11" s="39"/>
      <c r="M11" s="39"/>
    </row>
    <row r="12" spans="1:14" s="32" customFormat="1" ht="17.25" customHeight="1">
      <c r="A12" s="398" t="s">
        <v>384</v>
      </c>
      <c r="B12" s="398">
        <f>SUMIF(Sote_tehtävämuutokset[kohdennus],Sote_laskennallinen_rahoitus_yhteensä[[#This Row],[Laskennallinen sote-rahoitus vuonna 2026]],Sote_tehtävämuutokset[euroa])</f>
        <v>81000</v>
      </c>
      <c r="C12" s="181"/>
      <c r="D12" s="105"/>
      <c r="E12" s="27"/>
      <c r="F12" s="257"/>
      <c r="G12" s="409"/>
      <c r="H12" s="27"/>
      <c r="I12" s="39"/>
      <c r="J12" s="39"/>
      <c r="K12" s="39"/>
      <c r="L12" s="39"/>
      <c r="M12" s="39"/>
    </row>
    <row r="13" spans="1:14" s="32" customFormat="1" ht="17.25" customHeight="1">
      <c r="A13" s="398" t="s">
        <v>382</v>
      </c>
      <c r="B13" s="398">
        <f>SUMIF(Sote_tehtävämuutokset[kohdennus],Sote_laskennallinen_rahoitus_yhteensä[[#This Row],[Laskennallinen sote-rahoitus vuonna 2026]],Sote_tehtävämuutokset[euroa])</f>
        <v>1000000</v>
      </c>
      <c r="C13" s="181"/>
      <c r="D13" s="105"/>
      <c r="E13" s="27"/>
      <c r="F13" s="257"/>
      <c r="G13" s="409"/>
      <c r="H13" s="27"/>
      <c r="I13" s="39"/>
      <c r="J13" s="39"/>
      <c r="K13" s="39"/>
      <c r="L13" s="39"/>
      <c r="M13" s="39"/>
    </row>
    <row r="14" spans="1:14" s="32" customFormat="1" ht="17.25" customHeight="1">
      <c r="A14" s="498" t="s">
        <v>158</v>
      </c>
      <c r="B14" s="398">
        <f>SUMIF(Sote_tehtävämuutokset[kohdennus],Sote_laskennallinen_rahoitus_yhteensä[[#This Row],[Laskennallinen sote-rahoitus vuonna 2026]],Sote_tehtävämuutokset[euroa])</f>
        <v>-4889969.1011943789</v>
      </c>
      <c r="C14" s="181"/>
      <c r="D14" s="105"/>
      <c r="E14" s="27"/>
      <c r="F14" s="257"/>
      <c r="G14" s="409"/>
      <c r="H14" s="27"/>
      <c r="I14" s="39"/>
      <c r="J14" s="39"/>
      <c r="K14" s="39"/>
      <c r="L14" s="39"/>
      <c r="M14" s="39"/>
    </row>
    <row r="15" spans="1:14" s="32" customFormat="1" ht="17.25" customHeight="1">
      <c r="A15" s="399" t="s">
        <v>4</v>
      </c>
      <c r="B15" s="399">
        <f>SUM(B10:B14)</f>
        <v>-71966969.101194382</v>
      </c>
      <c r="C15" s="181"/>
      <c r="D15" s="105"/>
      <c r="E15" s="407"/>
      <c r="F15" s="407"/>
      <c r="G15" s="408"/>
      <c r="H15" s="27"/>
      <c r="I15" s="39"/>
      <c r="J15" s="39"/>
      <c r="K15" s="39"/>
      <c r="L15" s="39"/>
      <c r="M15" s="39"/>
    </row>
    <row r="16" spans="1:14" s="32" customFormat="1" ht="17.25" customHeight="1">
      <c r="A16" s="146" t="s">
        <v>397</v>
      </c>
      <c r="B16" s="147">
        <f>B8+SUM(B10:B14)</f>
        <v>26565988673.157417</v>
      </c>
      <c r="C16" s="33"/>
      <c r="D16" s="253"/>
      <c r="E16" s="27"/>
      <c r="F16" s="29"/>
      <c r="G16" s="408"/>
      <c r="H16" s="27"/>
      <c r="I16" s="39"/>
      <c r="J16" s="39"/>
      <c r="K16" s="39"/>
      <c r="L16" s="39"/>
      <c r="M16" s="125"/>
    </row>
    <row r="17" spans="1:15" s="32" customFormat="1" ht="34.5" customHeight="1">
      <c r="A17" s="109"/>
      <c r="N17" s="39"/>
    </row>
    <row r="18" spans="1:15" s="32" customFormat="1" ht="17" thickBot="1">
      <c r="A18" s="176" t="s">
        <v>167</v>
      </c>
      <c r="B18" s="175"/>
      <c r="C18" s="175"/>
      <c r="D18" s="175"/>
      <c r="E18" s="175"/>
      <c r="F18" s="175"/>
      <c r="G18" s="175"/>
      <c r="H18" s="175"/>
      <c r="I18" s="175"/>
      <c r="J18" s="175"/>
      <c r="K18" s="175"/>
      <c r="L18" s="175"/>
      <c r="M18" s="175"/>
      <c r="N18" s="175"/>
    </row>
    <row r="19" spans="1:15" s="32" customFormat="1" ht="16" thickTop="1">
      <c r="A19" s="400" t="s">
        <v>176</v>
      </c>
      <c r="B19" s="41" t="s">
        <v>158</v>
      </c>
      <c r="C19" s="41" t="s">
        <v>168</v>
      </c>
      <c r="D19" s="42" t="s">
        <v>159</v>
      </c>
      <c r="E19" s="42" t="s">
        <v>160</v>
      </c>
      <c r="F19" s="42" t="s">
        <v>161</v>
      </c>
      <c r="G19" s="43" t="s">
        <v>162</v>
      </c>
      <c r="H19" s="41" t="s">
        <v>163</v>
      </c>
      <c r="I19" s="41" t="s">
        <v>12</v>
      </c>
      <c r="J19" s="41" t="s">
        <v>164</v>
      </c>
      <c r="K19" s="41" t="s">
        <v>165</v>
      </c>
      <c r="L19" s="44" t="s">
        <v>166</v>
      </c>
      <c r="M19" s="44" t="s">
        <v>180</v>
      </c>
      <c r="N19" s="401" t="s">
        <v>4</v>
      </c>
    </row>
    <row r="20" spans="1:15" s="202" customFormat="1">
      <c r="A20" s="405" t="s">
        <v>386</v>
      </c>
      <c r="B20" s="256">
        <v>0.13078511974149742</v>
      </c>
      <c r="C20" s="256">
        <v>0.8077693928052847</v>
      </c>
      <c r="D20" s="256">
        <v>0.44400660214328086</v>
      </c>
      <c r="E20" s="256">
        <v>0.16976889328588668</v>
      </c>
      <c r="F20" s="256">
        <v>0.19399389737611716</v>
      </c>
      <c r="G20" s="256">
        <v>1.9858069002188273E-2</v>
      </c>
      <c r="H20" s="256">
        <v>4.959404462441459E-3</v>
      </c>
      <c r="I20" s="256">
        <v>1.4888438963535595E-2</v>
      </c>
      <c r="J20" s="256">
        <v>1.1248133832341453E-3</v>
      </c>
      <c r="K20" s="256">
        <v>1.4929341268380473E-2</v>
      </c>
      <c r="L20" s="256">
        <v>1.3293249074585353E-4</v>
      </c>
      <c r="M20" s="256">
        <v>5.5524878826921902E-3</v>
      </c>
      <c r="N20" s="402">
        <f>B20+SUM(D20:M20)</f>
        <v>1</v>
      </c>
    </row>
    <row r="21" spans="1:15" s="32" customFormat="1">
      <c r="A21" s="201" t="s">
        <v>387</v>
      </c>
      <c r="B21" s="46">
        <f>B20*($B$8+$B$13)+B14</f>
        <v>3479089034.3600364</v>
      </c>
      <c r="C21" s="46"/>
      <c r="D21" s="46">
        <f>D20*($B$8+$B$13)+B10</f>
        <v>11810614179.364826</v>
      </c>
      <c r="E21" s="46">
        <f>E20*($B$8+$B$13)+B11</f>
        <v>4471566017.678071</v>
      </c>
      <c r="F21" s="46">
        <f>F20*($B$8+$B$13)+B12</f>
        <v>5167875827.0712538</v>
      </c>
      <c r="G21" s="46">
        <f>G20*($B$8+$B$13)</f>
        <v>528998219.29020411</v>
      </c>
      <c r="H21" s="46">
        <f t="shared" ref="H21:M21" si="0">H20*($B$8+$B$13)</f>
        <v>132113355.48699743</v>
      </c>
      <c r="I21" s="46">
        <f t="shared" si="0"/>
        <v>396612465.13209945</v>
      </c>
      <c r="J21" s="46">
        <f t="shared" si="0"/>
        <v>29963853.821793228</v>
      </c>
      <c r="K21" s="46">
        <f t="shared" si="0"/>
        <v>397702059.81652832</v>
      </c>
      <c r="L21" s="397">
        <f t="shared" si="0"/>
        <v>3541182.7243937454</v>
      </c>
      <c r="M21" s="397">
        <f t="shared" si="0"/>
        <v>147912478.41121569</v>
      </c>
      <c r="N21" s="96">
        <f>B21+SUM(D21:M21)</f>
        <v>26565988673.157413</v>
      </c>
      <c r="O21" s="141"/>
    </row>
    <row r="22" spans="1:15" s="32" customFormat="1">
      <c r="A22" s="199" t="s">
        <v>219</v>
      </c>
      <c r="B22" s="189">
        <f>B21/$B$7</f>
        <v>620.67658873887706</v>
      </c>
      <c r="C22" s="190"/>
      <c r="D22" s="189">
        <f>D21/$B$7</f>
        <v>2107.0376892805216</v>
      </c>
      <c r="E22" s="189">
        <f>E21/$B$7</f>
        <v>797.73650940313826</v>
      </c>
      <c r="F22" s="189">
        <f>F21/$B$7</f>
        <v>921.95960140546083</v>
      </c>
      <c r="G22" s="189">
        <f>G21/G50</f>
        <v>871.4904997169773</v>
      </c>
      <c r="H22" s="189">
        <f>H21/H50</f>
        <v>530.40318405256698</v>
      </c>
      <c r="I22" s="189">
        <f>I21/B7</f>
        <v>70.756473743072775</v>
      </c>
      <c r="J22" s="189">
        <f>J21/J50</f>
        <v>887.13446890671571</v>
      </c>
      <c r="K22" s="189">
        <f>K21/B7</f>
        <v>70.950859659949359</v>
      </c>
      <c r="L22" s="191">
        <f>L21/L50</f>
        <v>2231.3690764925932</v>
      </c>
      <c r="M22" s="191">
        <f>M21/M50</f>
        <v>42.385794652623609</v>
      </c>
      <c r="N22" s="200"/>
    </row>
    <row r="23" spans="1:15" s="126" customFormat="1" ht="18.649999999999999" customHeight="1">
      <c r="A23" s="137" t="s">
        <v>388</v>
      </c>
      <c r="B23" s="138">
        <f>B21/$B$16</f>
        <v>0.13096026943184494</v>
      </c>
      <c r="C23" s="138">
        <f>SUM(D21:F21)/$B$16</f>
        <v>0.80742547503182283</v>
      </c>
      <c r="D23" s="138">
        <f t="shared" ref="D23:M23" si="1">D21/$B$16</f>
        <v>0.44457649683854633</v>
      </c>
      <c r="E23" s="138">
        <f t="shared" si="1"/>
        <v>0.16831920214571924</v>
      </c>
      <c r="F23" s="138">
        <f t="shared" si="1"/>
        <v>0.1945297760475572</v>
      </c>
      <c r="G23" s="138">
        <f t="shared" si="1"/>
        <v>1.9912611790906545E-2</v>
      </c>
      <c r="H23" s="138">
        <f t="shared" si="1"/>
        <v>4.9730261166785143E-3</v>
      </c>
      <c r="I23" s="138">
        <f t="shared" si="1"/>
        <v>1.4929332012131785E-2</v>
      </c>
      <c r="J23" s="138">
        <f t="shared" si="1"/>
        <v>1.1279028305868795E-3</v>
      </c>
      <c r="K23" s="138">
        <f t="shared" si="1"/>
        <v>1.4970346660516764E-2</v>
      </c>
      <c r="L23" s="138">
        <f t="shared" si="1"/>
        <v>1.3329760725117667E-4</v>
      </c>
      <c r="M23" s="138">
        <f t="shared" si="1"/>
        <v>5.5677385182606879E-3</v>
      </c>
      <c r="N23" s="406">
        <f>B23+SUM(D23:M23)</f>
        <v>0.99999999999999989</v>
      </c>
    </row>
    <row r="24" spans="1:15" s="126" customFormat="1" ht="18.649999999999999" customHeight="1">
      <c r="A24" s="193"/>
      <c r="B24" s="194"/>
      <c r="C24" s="194"/>
      <c r="D24" s="194"/>
      <c r="E24" s="194"/>
      <c r="F24" s="194"/>
      <c r="G24" s="194"/>
      <c r="H24" s="194"/>
      <c r="I24" s="194"/>
      <c r="J24" s="194"/>
      <c r="K24" s="194"/>
      <c r="L24" s="194"/>
      <c r="M24" s="194"/>
      <c r="N24" s="259"/>
    </row>
    <row r="25" spans="1:15" s="126" customFormat="1">
      <c r="A25" s="193"/>
      <c r="B25" s="194"/>
      <c r="C25" s="194"/>
      <c r="D25" s="194"/>
      <c r="E25" s="194"/>
      <c r="F25" s="194"/>
      <c r="G25" s="194"/>
      <c r="H25" s="194"/>
      <c r="I25" s="194"/>
      <c r="J25" s="194"/>
      <c r="K25" s="194"/>
      <c r="L25" s="194"/>
      <c r="M25" s="194"/>
      <c r="N25" s="195"/>
    </row>
    <row r="26" spans="1:15" s="32" customFormat="1" ht="17" thickBot="1">
      <c r="A26" s="175" t="s">
        <v>213</v>
      </c>
      <c r="B26" s="175"/>
      <c r="C26" s="175"/>
      <c r="D26" s="175"/>
      <c r="E26" s="175"/>
      <c r="F26" s="175"/>
      <c r="G26" s="175"/>
      <c r="H26" s="175"/>
      <c r="I26" s="175"/>
      <c r="J26" s="175"/>
      <c r="K26" s="175"/>
      <c r="L26" s="175"/>
      <c r="M26" s="175"/>
      <c r="N26" s="51"/>
    </row>
    <row r="27" spans="1:15" s="32" customFormat="1" ht="63" customHeight="1" thickTop="1">
      <c r="A27" s="52" t="s">
        <v>6</v>
      </c>
      <c r="B27" s="36" t="s">
        <v>7</v>
      </c>
      <c r="C27" s="53" t="s">
        <v>36</v>
      </c>
      <c r="D27" s="54" t="s">
        <v>169</v>
      </c>
      <c r="E27" s="54" t="s">
        <v>170</v>
      </c>
      <c r="F27" s="54" t="s">
        <v>171</v>
      </c>
      <c r="G27" s="54" t="s">
        <v>10</v>
      </c>
      <c r="H27" s="55" t="s">
        <v>8</v>
      </c>
      <c r="I27" s="53" t="s">
        <v>37</v>
      </c>
      <c r="J27" s="55" t="s">
        <v>172</v>
      </c>
      <c r="K27" s="56" t="s">
        <v>220</v>
      </c>
      <c r="L27" s="55" t="s">
        <v>173</v>
      </c>
      <c r="M27" s="123" t="s">
        <v>181</v>
      </c>
      <c r="N27" s="57"/>
    </row>
    <row r="28" spans="1:15" s="32" customFormat="1">
      <c r="A28" s="58">
        <v>31</v>
      </c>
      <c r="B28" s="177" t="s">
        <v>14</v>
      </c>
      <c r="C28" s="258">
        <f>Määräytymistekijät!C8</f>
        <v>684018</v>
      </c>
      <c r="D28" s="274">
        <f>Tarvekertoimet!J8</f>
        <v>0.91044173611120249</v>
      </c>
      <c r="E28" s="274">
        <f>Tarvekertoimet!K8</f>
        <v>0.79261389649682645</v>
      </c>
      <c r="F28" s="274">
        <f>Tarvekertoimet!L8</f>
        <v>0.83630672573341647</v>
      </c>
      <c r="G28" s="59">
        <f>Määräytymistekijät!F8</f>
        <v>139832</v>
      </c>
      <c r="H28" s="59">
        <f>Määräytymistekijät!D8</f>
        <v>36945</v>
      </c>
      <c r="I28" s="60">
        <f>Määräytymistekijät!I8</f>
        <v>5.814018167768914E-3</v>
      </c>
      <c r="J28" s="59">
        <f>Määräytymistekijät!J8</f>
        <v>0</v>
      </c>
      <c r="K28" s="260">
        <f>'Hyte-kerroin'!G7</f>
        <v>0.87706159719596877</v>
      </c>
      <c r="L28" s="59">
        <f>Määräytymistekijät!E8</f>
        <v>0</v>
      </c>
      <c r="M28" s="124">
        <f t="shared" ref="M28:M33" si="2">C28</f>
        <v>684018</v>
      </c>
      <c r="N28" s="61"/>
    </row>
    <row r="29" spans="1:15" s="32" customFormat="1">
      <c r="A29" s="62">
        <v>32</v>
      </c>
      <c r="B29" s="178" t="s">
        <v>41</v>
      </c>
      <c r="C29" s="258">
        <f>Määräytymistekijät!C9</f>
        <v>289730</v>
      </c>
      <c r="D29" s="274">
        <f>Tarvekertoimet!J9</f>
        <v>0.93027433207604759</v>
      </c>
      <c r="E29" s="274">
        <f>Tarvekertoimet!K9</f>
        <v>0.65099819250721769</v>
      </c>
      <c r="F29" s="274">
        <f>Tarvekertoimet!L9</f>
        <v>0.89912222644113593</v>
      </c>
      <c r="G29" s="59">
        <f>Määräytymistekijät!F9</f>
        <v>78809</v>
      </c>
      <c r="H29" s="59">
        <f>Määräytymistekijät!D9</f>
        <v>5791</v>
      </c>
      <c r="I29" s="60">
        <f>Määräytymistekijät!I9</f>
        <v>1.7209249029257766E-2</v>
      </c>
      <c r="J29" s="59">
        <f>Määräytymistekijät!J9</f>
        <v>0</v>
      </c>
      <c r="K29" s="260">
        <f>'Hyte-kerroin'!G8</f>
        <v>0.58107148816117393</v>
      </c>
      <c r="L29" s="59">
        <f>Määräytymistekijät!E9</f>
        <v>0</v>
      </c>
      <c r="M29" s="124">
        <f t="shared" si="2"/>
        <v>289730</v>
      </c>
      <c r="N29" s="61"/>
    </row>
    <row r="30" spans="1:15" s="32" customFormat="1">
      <c r="A30" s="62">
        <v>33</v>
      </c>
      <c r="B30" s="178" t="s">
        <v>15</v>
      </c>
      <c r="C30" s="258">
        <f>Määräytymistekijät!C10</f>
        <v>502067</v>
      </c>
      <c r="D30" s="274">
        <f>Tarvekertoimet!J10</f>
        <v>0.84588791727856028</v>
      </c>
      <c r="E30" s="274">
        <f>Tarvekertoimet!K10</f>
        <v>0.63870445847148694</v>
      </c>
      <c r="F30" s="274">
        <f>Tarvekertoimet!L10</f>
        <v>0.74429238443081214</v>
      </c>
      <c r="G30" s="59">
        <f>Määräytymistekijät!F10</f>
        <v>95640</v>
      </c>
      <c r="H30" s="59">
        <f>Määräytymistekijät!D10</f>
        <v>56271</v>
      </c>
      <c r="I30" s="60">
        <f>Määräytymistekijät!I10</f>
        <v>0.15698706553160433</v>
      </c>
      <c r="J30" s="59">
        <f>Määräytymistekijät!J10</f>
        <v>0</v>
      </c>
      <c r="K30" s="260">
        <f>'Hyte-kerroin'!G9</f>
        <v>1.1152392083428613</v>
      </c>
      <c r="L30" s="59">
        <f>Määräytymistekijät!E10</f>
        <v>0</v>
      </c>
      <c r="M30" s="124">
        <f t="shared" si="2"/>
        <v>502067</v>
      </c>
      <c r="N30" s="61"/>
    </row>
    <row r="31" spans="1:15" s="32" customFormat="1">
      <c r="A31" s="62">
        <v>34</v>
      </c>
      <c r="B31" s="178" t="s">
        <v>16</v>
      </c>
      <c r="C31" s="258">
        <f>Määräytymistekijät!C11</f>
        <v>99415</v>
      </c>
      <c r="D31" s="274">
        <f>Tarvekertoimet!J11</f>
        <v>0.96409996771049522</v>
      </c>
      <c r="E31" s="274">
        <f>Tarvekertoimet!K11</f>
        <v>0.91564871687802141</v>
      </c>
      <c r="F31" s="274">
        <f>Tarvekertoimet!L11</f>
        <v>0.80780103868265807</v>
      </c>
      <c r="G31" s="59">
        <f>Määräytymistekijät!F11</f>
        <v>7922</v>
      </c>
      <c r="H31" s="59">
        <f>Määräytymistekijät!D11</f>
        <v>27079</v>
      </c>
      <c r="I31" s="60">
        <f>Määräytymistekijät!I11</f>
        <v>0.50382126580725783</v>
      </c>
      <c r="J31" s="59">
        <f>Määräytymistekijät!J11</f>
        <v>0</v>
      </c>
      <c r="K31" s="260">
        <f>'Hyte-kerroin'!G10</f>
        <v>1.1151082995774573</v>
      </c>
      <c r="L31" s="59">
        <f>Määräytymistekijät!E11</f>
        <v>0</v>
      </c>
      <c r="M31" s="124">
        <f t="shared" si="2"/>
        <v>99415</v>
      </c>
      <c r="N31" s="61"/>
    </row>
    <row r="32" spans="1:15" s="32" customFormat="1">
      <c r="A32" s="62">
        <v>35</v>
      </c>
      <c r="B32" s="178" t="s">
        <v>17</v>
      </c>
      <c r="C32" s="258">
        <f>Määräytymistekijät!C12</f>
        <v>207070</v>
      </c>
      <c r="D32" s="274">
        <f>Tarvekertoimet!J12</f>
        <v>0.91276792915008353</v>
      </c>
      <c r="E32" s="274">
        <f>Tarvekertoimet!K12</f>
        <v>0.73243689464695472</v>
      </c>
      <c r="F32" s="274">
        <f>Tarvekertoimet!L12</f>
        <v>0.82112359037591398</v>
      </c>
      <c r="G32" s="59">
        <f>Määräytymistekijät!F12</f>
        <v>17277</v>
      </c>
      <c r="H32" s="59">
        <f>Määräytymistekijät!D12</f>
        <v>0</v>
      </c>
      <c r="I32" s="60">
        <f>Määräytymistekijät!I12</f>
        <v>0.14944491406708935</v>
      </c>
      <c r="J32" s="59">
        <f>Määräytymistekijät!J12</f>
        <v>0</v>
      </c>
      <c r="K32" s="260">
        <f>'Hyte-kerroin'!G11</f>
        <v>0.61329769196779005</v>
      </c>
      <c r="L32" s="59">
        <f>Määräytymistekijät!E12</f>
        <v>0</v>
      </c>
      <c r="M32" s="124">
        <f t="shared" si="2"/>
        <v>207070</v>
      </c>
      <c r="N32" s="61"/>
    </row>
    <row r="33" spans="1:14" s="32" customFormat="1">
      <c r="A33" s="63">
        <v>2</v>
      </c>
      <c r="B33" s="178" t="s">
        <v>18</v>
      </c>
      <c r="C33" s="258">
        <f>Määräytymistekijät!C13</f>
        <v>494819</v>
      </c>
      <c r="D33" s="274">
        <f>Tarvekertoimet!J13</f>
        <v>1.0480850241436908</v>
      </c>
      <c r="E33" s="274">
        <f>Tarvekertoimet!K13</f>
        <v>1.0872468629205105</v>
      </c>
      <c r="F33" s="274">
        <f>Tarvekertoimet!L13</f>
        <v>1.0250666620481961</v>
      </c>
      <c r="G33" s="59">
        <f>Määräytymistekijät!F13</f>
        <v>54605</v>
      </c>
      <c r="H33" s="59">
        <f>Määräytymistekijät!D13</f>
        <v>27561</v>
      </c>
      <c r="I33" s="60">
        <f>Määräytymistekijät!I13</f>
        <v>0.39988880393759701</v>
      </c>
      <c r="J33" s="59">
        <f>Määräytymistekijät!J13</f>
        <v>21871</v>
      </c>
      <c r="K33" s="260">
        <f>'Hyte-kerroin'!G12</f>
        <v>0.95100826729047439</v>
      </c>
      <c r="L33" s="59">
        <f>Määräytymistekijät!E13</f>
        <v>0</v>
      </c>
      <c r="M33" s="124">
        <f t="shared" si="2"/>
        <v>494819</v>
      </c>
      <c r="N33" s="61"/>
    </row>
    <row r="34" spans="1:14" s="32" customFormat="1">
      <c r="A34" s="63">
        <v>4</v>
      </c>
      <c r="B34" s="178" t="s">
        <v>19</v>
      </c>
      <c r="C34" s="258">
        <f>Määräytymistekijät!C14</f>
        <v>211261</v>
      </c>
      <c r="D34" s="274">
        <f>Tarvekertoimet!J14</f>
        <v>1.0410854761626893</v>
      </c>
      <c r="E34" s="274">
        <f>Tarvekertoimet!K14</f>
        <v>1.1663282235264014</v>
      </c>
      <c r="F34" s="274">
        <f>Tarvekertoimet!L14</f>
        <v>1.0980157974378475</v>
      </c>
      <c r="G34" s="59">
        <f>Määräytymistekijät!F14</f>
        <v>12572</v>
      </c>
      <c r="H34" s="59">
        <f>Määräytymistekijät!D14</f>
        <v>0</v>
      </c>
      <c r="I34" s="60">
        <f>Määräytymistekijät!I14</f>
        <v>0.68631527015359717</v>
      </c>
      <c r="J34" s="59">
        <f>Määräytymistekijät!J14</f>
        <v>0</v>
      </c>
      <c r="K34" s="260">
        <f>'Hyte-kerroin'!G13</f>
        <v>0.92919853170456512</v>
      </c>
      <c r="L34" s="59">
        <f>Määräytymistekijät!E14</f>
        <v>0</v>
      </c>
      <c r="M34" s="124"/>
      <c r="N34" s="61"/>
    </row>
    <row r="35" spans="1:14" s="32" customFormat="1">
      <c r="A35" s="63">
        <v>5</v>
      </c>
      <c r="B35" s="178" t="s">
        <v>20</v>
      </c>
      <c r="C35" s="258">
        <f>Määräytymistekijät!C15</f>
        <v>169455</v>
      </c>
      <c r="D35" s="274">
        <f>Tarvekertoimet!J15</f>
        <v>1.0462621212162693</v>
      </c>
      <c r="E35" s="274">
        <f>Tarvekertoimet!K15</f>
        <v>1.1108774265915609</v>
      </c>
      <c r="F35" s="274">
        <f>Tarvekertoimet!L15</f>
        <v>1.0077581932327686</v>
      </c>
      <c r="G35" s="59">
        <f>Määräytymistekijät!F15</f>
        <v>11117</v>
      </c>
      <c r="H35" s="59">
        <f>Määräytymistekijät!D15</f>
        <v>0</v>
      </c>
      <c r="I35" s="60">
        <f>Määräytymistekijät!I15</f>
        <v>0.56868953003191325</v>
      </c>
      <c r="J35" s="59">
        <f>Määräytymistekijät!J15</f>
        <v>0</v>
      </c>
      <c r="K35" s="260">
        <f>'Hyte-kerroin'!G14</f>
        <v>1.1266081056128423</v>
      </c>
      <c r="L35" s="59">
        <f>Määräytymistekijät!E15</f>
        <v>0</v>
      </c>
      <c r="M35" s="124"/>
      <c r="N35" s="61"/>
    </row>
    <row r="36" spans="1:14" s="32" customFormat="1">
      <c r="A36" s="63">
        <v>6</v>
      </c>
      <c r="B36" s="178" t="s">
        <v>21</v>
      </c>
      <c r="C36" s="258">
        <f>Määräytymistekijät!C16</f>
        <v>545406</v>
      </c>
      <c r="D36" s="274">
        <f>Tarvekertoimet!J16</f>
        <v>1.0139289491174381</v>
      </c>
      <c r="E36" s="274">
        <f>Tarvekertoimet!K16</f>
        <v>0.98241396094356415</v>
      </c>
      <c r="F36" s="274">
        <f>Tarvekertoimet!L16</f>
        <v>0.95458658993821699</v>
      </c>
      <c r="G36" s="59">
        <f>Määräytymistekijät!F16</f>
        <v>40361</v>
      </c>
      <c r="H36" s="59">
        <f>Määräytymistekijät!D16</f>
        <v>0</v>
      </c>
      <c r="I36" s="60">
        <f>Määräytymistekijät!I16</f>
        <v>0.45021452441887094</v>
      </c>
      <c r="J36" s="59">
        <f>Määräytymistekijät!J16</f>
        <v>0</v>
      </c>
      <c r="K36" s="260">
        <f>'Hyte-kerroin'!G15</f>
        <v>0.9530318527740812</v>
      </c>
      <c r="L36" s="59">
        <f>Määräytymistekijät!E16</f>
        <v>0</v>
      </c>
      <c r="M36" s="124">
        <f>C36</f>
        <v>545406</v>
      </c>
      <c r="N36" s="61"/>
    </row>
    <row r="37" spans="1:14" s="32" customFormat="1">
      <c r="A37" s="63">
        <v>7</v>
      </c>
      <c r="B37" s="178" t="s">
        <v>22</v>
      </c>
      <c r="C37" s="258">
        <f>Määräytymistekijät!C17</f>
        <v>204635</v>
      </c>
      <c r="D37" s="274">
        <f>Tarvekertoimet!J17</f>
        <v>1.0664068430245903</v>
      </c>
      <c r="E37" s="274">
        <f>Tarvekertoimet!K17</f>
        <v>1.1439580612969791</v>
      </c>
      <c r="F37" s="274">
        <f>Tarvekertoimet!L17</f>
        <v>1.0618185266799982</v>
      </c>
      <c r="G37" s="59">
        <f>Määräytymistekijät!F17</f>
        <v>15996</v>
      </c>
      <c r="H37" s="59">
        <f>Määräytymistekijät!D17</f>
        <v>0</v>
      </c>
      <c r="I37" s="60">
        <f>Määräytymistekijät!I17</f>
        <v>0.5176558719195884</v>
      </c>
      <c r="J37" s="59">
        <f>Määräytymistekijät!J17</f>
        <v>0</v>
      </c>
      <c r="K37" s="260">
        <f>'Hyte-kerroin'!G16</f>
        <v>1.2730343319948958</v>
      </c>
      <c r="L37" s="59">
        <f>Määräytymistekijät!E17</f>
        <v>0</v>
      </c>
      <c r="M37" s="124"/>
      <c r="N37" s="61"/>
    </row>
    <row r="38" spans="1:14" s="32" customFormat="1">
      <c r="A38" s="63">
        <v>8</v>
      </c>
      <c r="B38" s="178" t="s">
        <v>23</v>
      </c>
      <c r="C38" s="258">
        <f>Määräytymistekijät!C18</f>
        <v>157442</v>
      </c>
      <c r="D38" s="274">
        <f>Tarvekertoimet!J18</f>
        <v>1.1260531844771018</v>
      </c>
      <c r="E38" s="274">
        <f>Tarvekertoimet!K18</f>
        <v>1.4048960441043783</v>
      </c>
      <c r="F38" s="274">
        <f>Tarvekertoimet!L18</f>
        <v>1.1514455563317594</v>
      </c>
      <c r="G38" s="59">
        <f>Määräytymistekijät!F18</f>
        <v>12390</v>
      </c>
      <c r="H38" s="59">
        <f>Määräytymistekijät!D18</f>
        <v>1163</v>
      </c>
      <c r="I38" s="60">
        <f>Määräytymistekijät!I18</f>
        <v>0.53671846084446073</v>
      </c>
      <c r="J38" s="59">
        <f>Määräytymistekijät!J18</f>
        <v>0</v>
      </c>
      <c r="K38" s="260">
        <f>'Hyte-kerroin'!G17</f>
        <v>0.83293070981385442</v>
      </c>
      <c r="L38" s="59">
        <f>Määräytymistekijät!E18</f>
        <v>0</v>
      </c>
      <c r="M38" s="124"/>
      <c r="N38" s="61"/>
    </row>
    <row r="39" spans="1:14" s="32" customFormat="1">
      <c r="A39" s="63">
        <v>9</v>
      </c>
      <c r="B39" s="178" t="s">
        <v>24</v>
      </c>
      <c r="C39" s="258">
        <f>Määräytymistekijät!C19</f>
        <v>125083</v>
      </c>
      <c r="D39" s="274">
        <f>Tarvekertoimet!J19</f>
        <v>1.0033698541119382</v>
      </c>
      <c r="E39" s="274">
        <f>Tarvekertoimet!K19</f>
        <v>1.1654954579487924</v>
      </c>
      <c r="F39" s="274">
        <f>Tarvekertoimet!L19</f>
        <v>0.96098321308191403</v>
      </c>
      <c r="G39" s="59">
        <f>Määräytymistekijät!F19</f>
        <v>11799</v>
      </c>
      <c r="H39" s="59">
        <f>Määräytymistekijät!D19</f>
        <v>0</v>
      </c>
      <c r="I39" s="60">
        <f>Määräytymistekijät!I19</f>
        <v>0.78934488705245431</v>
      </c>
      <c r="J39" s="59">
        <f>Määräytymistekijät!J19</f>
        <v>0</v>
      </c>
      <c r="K39" s="260">
        <f>'Hyte-kerroin'!G18</f>
        <v>1.0127094286565781</v>
      </c>
      <c r="L39" s="59">
        <f>Määräytymistekijät!E19</f>
        <v>0</v>
      </c>
      <c r="M39" s="124"/>
      <c r="N39" s="61"/>
    </row>
    <row r="40" spans="1:14" s="32" customFormat="1">
      <c r="A40" s="63">
        <v>10</v>
      </c>
      <c r="B40" s="178" t="s">
        <v>25</v>
      </c>
      <c r="C40" s="258">
        <f>Määräytymistekijät!C20</f>
        <v>129376</v>
      </c>
      <c r="D40" s="274">
        <f>Tarvekertoimet!J20</f>
        <v>1.1560482140969064</v>
      </c>
      <c r="E40" s="274">
        <f>Tarvekertoimet!K20</f>
        <v>1.4815885146908325</v>
      </c>
      <c r="F40" s="274">
        <f>Tarvekertoimet!L20</f>
        <v>1.2016786164591797</v>
      </c>
      <c r="G40" s="59">
        <f>Määräytymistekijät!F20</f>
        <v>7545</v>
      </c>
      <c r="H40" s="59">
        <f>Määräytymistekijät!D20</f>
        <v>0</v>
      </c>
      <c r="I40" s="60">
        <f>Määräytymistekijät!I20</f>
        <v>1.8125485868731592</v>
      </c>
      <c r="J40" s="59">
        <f>Määräytymistekijät!J20</f>
        <v>5620</v>
      </c>
      <c r="K40" s="260">
        <f>'Hyte-kerroin'!G19</f>
        <v>1.3362650490694596</v>
      </c>
      <c r="L40" s="59">
        <f>Määräytymistekijät!E20</f>
        <v>0</v>
      </c>
      <c r="M40" s="124"/>
      <c r="N40" s="61"/>
    </row>
    <row r="41" spans="1:14" s="32" customFormat="1">
      <c r="A41" s="63">
        <v>11</v>
      </c>
      <c r="B41" s="178" t="s">
        <v>26</v>
      </c>
      <c r="C41" s="258">
        <f>Määräytymistekijät!C21</f>
        <v>248815</v>
      </c>
      <c r="D41" s="274">
        <f>Tarvekertoimet!J21</f>
        <v>1.0911693349241707</v>
      </c>
      <c r="E41" s="274">
        <f>Tarvekertoimet!K21</f>
        <v>1.2002380809136419</v>
      </c>
      <c r="F41" s="274">
        <f>Tarvekertoimet!L21</f>
        <v>1.1831332385004807</v>
      </c>
      <c r="G41" s="59">
        <f>Määräytymistekijät!F21</f>
        <v>13079</v>
      </c>
      <c r="H41" s="59">
        <f>Määräytymistekijät!D21</f>
        <v>0</v>
      </c>
      <c r="I41" s="60">
        <f>Määräytymistekijät!I21</f>
        <v>1.2920563754165277</v>
      </c>
      <c r="J41" s="59">
        <f>Määräytymistekijät!J21</f>
        <v>0</v>
      </c>
      <c r="K41" s="260">
        <f>'Hyte-kerroin'!G20</f>
        <v>1.3282839394865655</v>
      </c>
      <c r="L41" s="59">
        <f>Määräytymistekijät!E21</f>
        <v>0</v>
      </c>
      <c r="M41" s="124">
        <f>C41</f>
        <v>248815</v>
      </c>
      <c r="N41" s="61"/>
    </row>
    <row r="42" spans="1:14" s="32" customFormat="1">
      <c r="A42" s="63">
        <v>12</v>
      </c>
      <c r="B42" s="178" t="s">
        <v>27</v>
      </c>
      <c r="C42" s="258">
        <f>Määräytymistekijät!C22</f>
        <v>162091</v>
      </c>
      <c r="D42" s="274">
        <f>Tarvekertoimet!J22</f>
        <v>1.1929320733825888</v>
      </c>
      <c r="E42" s="274">
        <f>Tarvekertoimet!K22</f>
        <v>1.3280606294550634</v>
      </c>
      <c r="F42" s="274">
        <f>Tarvekertoimet!L22</f>
        <v>1.2728947389542946</v>
      </c>
      <c r="G42" s="59">
        <f>Määräytymistekijät!F22</f>
        <v>10668</v>
      </c>
      <c r="H42" s="59">
        <f>Määräytymistekijät!D22</f>
        <v>0</v>
      </c>
      <c r="I42" s="60">
        <f>Määräytymistekijät!I22</f>
        <v>2.1488962947117893</v>
      </c>
      <c r="J42" s="59">
        <f>Määräytymistekijät!J22</f>
        <v>0</v>
      </c>
      <c r="K42" s="260">
        <f>'Hyte-kerroin'!G21</f>
        <v>0.88864029448694726</v>
      </c>
      <c r="L42" s="59">
        <f>Määräytymistekijät!E22</f>
        <v>0</v>
      </c>
      <c r="M42" s="124"/>
      <c r="N42" s="61"/>
    </row>
    <row r="43" spans="1:14" s="32" customFormat="1">
      <c r="A43" s="63">
        <v>13</v>
      </c>
      <c r="B43" s="178" t="s">
        <v>28</v>
      </c>
      <c r="C43" s="258">
        <f>Määräytymistekijät!C23</f>
        <v>274112</v>
      </c>
      <c r="D43" s="274">
        <f>Tarvekertoimet!J23</f>
        <v>0.97065873495474608</v>
      </c>
      <c r="E43" s="274">
        <f>Tarvekertoimet!K23</f>
        <v>1.0152494404247372</v>
      </c>
      <c r="F43" s="274">
        <f>Tarvekertoimet!L23</f>
        <v>1.0208699579123053</v>
      </c>
      <c r="G43" s="59">
        <f>Määräytymistekijät!F23</f>
        <v>15016</v>
      </c>
      <c r="H43" s="59">
        <f>Määräytymistekijät!D23</f>
        <v>0</v>
      </c>
      <c r="I43" s="60">
        <f>Määräytymistekijät!I23</f>
        <v>1.0846813995591487</v>
      </c>
      <c r="J43" s="59">
        <f>Määräytymistekijät!J23</f>
        <v>0</v>
      </c>
      <c r="K43" s="260">
        <f>'Hyte-kerroin'!G22</f>
        <v>0.95461065324076888</v>
      </c>
      <c r="L43" s="59">
        <f>Määräytymistekijät!E23</f>
        <v>0</v>
      </c>
      <c r="M43" s="124"/>
      <c r="N43" s="61"/>
    </row>
    <row r="44" spans="1:14" s="32" customFormat="1">
      <c r="A44" s="63">
        <v>14</v>
      </c>
      <c r="B44" s="178" t="s">
        <v>29</v>
      </c>
      <c r="C44" s="258">
        <f>Määräytymistekijät!C24</f>
        <v>189929</v>
      </c>
      <c r="D44" s="274">
        <f>Tarvekertoimet!J24</f>
        <v>1.0939828972991306</v>
      </c>
      <c r="E44" s="274">
        <f>Tarvekertoimet!K24</f>
        <v>1.2784978065257202</v>
      </c>
      <c r="F44" s="274">
        <f>Tarvekertoimet!L24</f>
        <v>1.0951303426742123</v>
      </c>
      <c r="G44" s="59">
        <f>Määräytymistekijät!F24</f>
        <v>8229</v>
      </c>
      <c r="H44" s="59">
        <f>Määräytymistekijät!D24</f>
        <v>0</v>
      </c>
      <c r="I44" s="60">
        <f>Määräytymistekijät!I24</f>
        <v>1.3464763582131165</v>
      </c>
      <c r="J44" s="59">
        <f>Määräytymistekijät!J24</f>
        <v>0</v>
      </c>
      <c r="K44" s="260">
        <f>'Hyte-kerroin'!G23</f>
        <v>1.7315254253440802</v>
      </c>
      <c r="L44" s="59">
        <f>Määräytymistekijät!E24</f>
        <v>0</v>
      </c>
      <c r="M44" s="124"/>
      <c r="N44" s="61"/>
    </row>
    <row r="45" spans="1:14" s="32" customFormat="1">
      <c r="A45" s="63">
        <v>15</v>
      </c>
      <c r="B45" s="178" t="s">
        <v>30</v>
      </c>
      <c r="C45" s="258">
        <f>Määräytymistekijät!C25</f>
        <v>178749</v>
      </c>
      <c r="D45" s="274">
        <f>Tarvekertoimet!J25</f>
        <v>0.94230511819320528</v>
      </c>
      <c r="E45" s="274">
        <f>Tarvekertoimet!K25</f>
        <v>0.9485351106893295</v>
      </c>
      <c r="F45" s="274">
        <f>Tarvekertoimet!L25</f>
        <v>0.83125724291852121</v>
      </c>
      <c r="G45" s="59">
        <f>Määräytymistekijät!F25</f>
        <v>19104</v>
      </c>
      <c r="H45" s="59">
        <f>Määräytymistekijät!D25</f>
        <v>88370</v>
      </c>
      <c r="I45" s="60">
        <f>Määräytymistekijät!I25</f>
        <v>0.7675776530072107</v>
      </c>
      <c r="J45" s="59">
        <f>Määräytymistekijät!J25</f>
        <v>5373</v>
      </c>
      <c r="K45" s="260">
        <f>'Hyte-kerroin'!G24</f>
        <v>1.0180538063659963</v>
      </c>
      <c r="L45" s="59">
        <f>Määräytymistekijät!E25</f>
        <v>0</v>
      </c>
      <c r="M45" s="124"/>
      <c r="N45" s="61"/>
    </row>
    <row r="46" spans="1:14" s="32" customFormat="1">
      <c r="A46" s="63">
        <v>16</v>
      </c>
      <c r="B46" s="178" t="s">
        <v>31</v>
      </c>
      <c r="C46" s="258">
        <f>Määräytymistekijät!C26</f>
        <v>67723</v>
      </c>
      <c r="D46" s="274">
        <f>Tarvekertoimet!J26</f>
        <v>1.0783437030918979</v>
      </c>
      <c r="E46" s="274">
        <f>Tarvekertoimet!K26</f>
        <v>1.1761627204575917</v>
      </c>
      <c r="F46" s="274">
        <f>Tarvekertoimet!L26</f>
        <v>1.1858677934586614</v>
      </c>
      <c r="G46" s="59">
        <f>Määräytymistekijät!F26</f>
        <v>3285</v>
      </c>
      <c r="H46" s="59">
        <f>Määräytymistekijät!D26</f>
        <v>5901</v>
      </c>
      <c r="I46" s="60">
        <f>Määräytymistekijät!I26</f>
        <v>1.37393542742797</v>
      </c>
      <c r="J46" s="59">
        <f>Määräytymistekijät!J26</f>
        <v>0</v>
      </c>
      <c r="K46" s="260">
        <f>'Hyte-kerroin'!G25</f>
        <v>0.73869079597608733</v>
      </c>
      <c r="L46" s="59">
        <f>Määräytymistekijät!E26</f>
        <v>0</v>
      </c>
      <c r="M46" s="124"/>
      <c r="N46" s="61"/>
    </row>
    <row r="47" spans="1:14" s="32" customFormat="1">
      <c r="A47" s="63">
        <v>17</v>
      </c>
      <c r="B47" s="178" t="s">
        <v>32</v>
      </c>
      <c r="C47" s="258">
        <f>Määräytymistekijät!C27</f>
        <v>418331</v>
      </c>
      <c r="D47" s="274">
        <f>Tarvekertoimet!J27</f>
        <v>0.97467509255244655</v>
      </c>
      <c r="E47" s="274">
        <f>Tarvekertoimet!K27</f>
        <v>0.97540584967290556</v>
      </c>
      <c r="F47" s="274">
        <f>Tarvekertoimet!L27</f>
        <v>1.2030093753387854</v>
      </c>
      <c r="G47" s="59">
        <f>Määräytymistekijät!F27</f>
        <v>19335</v>
      </c>
      <c r="H47" s="59">
        <f>Määräytymistekijät!D27</f>
        <v>0</v>
      </c>
      <c r="I47" s="60">
        <f>Määräytymistekijät!I27</f>
        <v>1.6317945150654358</v>
      </c>
      <c r="J47" s="59">
        <f>Määräytymistekijät!J27</f>
        <v>912</v>
      </c>
      <c r="K47" s="260">
        <f>'Hyte-kerroin'!G26</f>
        <v>0.91719818222854665</v>
      </c>
      <c r="L47" s="59">
        <f>Määräytymistekijät!E27</f>
        <v>0</v>
      </c>
      <c r="M47" s="124">
        <f>C47</f>
        <v>418331</v>
      </c>
      <c r="N47" s="61"/>
    </row>
    <row r="48" spans="1:14" s="32" customFormat="1">
      <c r="A48" s="63">
        <v>18</v>
      </c>
      <c r="B48" s="178" t="s">
        <v>33</v>
      </c>
      <c r="C48" s="258">
        <f>Määräytymistekijät!C28</f>
        <v>69639</v>
      </c>
      <c r="D48" s="274">
        <f>Tarvekertoimet!J28</f>
        <v>1.1377572090045243</v>
      </c>
      <c r="E48" s="274">
        <f>Tarvekertoimet!K28</f>
        <v>1.4173949549951554</v>
      </c>
      <c r="F48" s="274">
        <f>Tarvekertoimet!L28</f>
        <v>1.2547803710076584</v>
      </c>
      <c r="G48" s="59">
        <f>Määräytymistekijät!F28</f>
        <v>4082</v>
      </c>
      <c r="H48" s="59">
        <f>Määräytymistekijät!D28</f>
        <v>0</v>
      </c>
      <c r="I48" s="60">
        <f>Määräytymistekijät!I28</f>
        <v>5.3756175343415151</v>
      </c>
      <c r="J48" s="59">
        <f>Määräytymistekijät!J28</f>
        <v>0</v>
      </c>
      <c r="K48" s="260">
        <f>'Hyte-kerroin'!G27</f>
        <v>1.1895356067811493</v>
      </c>
      <c r="L48" s="59">
        <f>Määräytymistekijät!E28</f>
        <v>0</v>
      </c>
      <c r="M48" s="124"/>
      <c r="N48" s="61"/>
    </row>
    <row r="49" spans="1:35" s="32" customFormat="1">
      <c r="A49" s="63">
        <v>19</v>
      </c>
      <c r="B49" s="178" t="s">
        <v>34</v>
      </c>
      <c r="C49" s="258">
        <f>Määräytymistekijät!C29</f>
        <v>176151</v>
      </c>
      <c r="D49" s="274">
        <f>Tarvekertoimet!J29</f>
        <v>1.1178351427308728</v>
      </c>
      <c r="E49" s="274">
        <f>Tarvekertoimet!K29</f>
        <v>1.2432805066966928</v>
      </c>
      <c r="F49" s="274">
        <f>Tarvekertoimet!L29</f>
        <v>1.3388131523481976</v>
      </c>
      <c r="G49" s="59">
        <f>Määräytymistekijät!F29</f>
        <v>8341</v>
      </c>
      <c r="H49" s="59">
        <f>Määräytymistekijät!D29</f>
        <v>0</v>
      </c>
      <c r="I49" s="60">
        <f>Määräytymistekijät!I29</f>
        <v>9.7527856858756063</v>
      </c>
      <c r="J49" s="59">
        <f>Määräytymistekijät!J29</f>
        <v>0</v>
      </c>
      <c r="K49" s="260">
        <f>'Hyte-kerroin'!G28</f>
        <v>1.1744053921759396</v>
      </c>
      <c r="L49" s="59">
        <f>Määräytymistekijät!E29</f>
        <v>1587</v>
      </c>
      <c r="M49" s="124"/>
      <c r="N49" s="61"/>
    </row>
    <row r="50" spans="1:35" s="32" customFormat="1">
      <c r="A50" s="64"/>
      <c r="B50" s="179" t="s">
        <v>35</v>
      </c>
      <c r="C50" s="49">
        <f>Määräytymistekijät!C30</f>
        <v>5605317</v>
      </c>
      <c r="D50" s="275">
        <v>0</v>
      </c>
      <c r="E50" s="275">
        <v>0</v>
      </c>
      <c r="F50" s="275">
        <v>0</v>
      </c>
      <c r="G50" s="49">
        <f>Määräytymistekijät!F30</f>
        <v>607004</v>
      </c>
      <c r="H50" s="49">
        <f>Määräytymistekijät!D30</f>
        <v>249081</v>
      </c>
      <c r="I50" s="65">
        <f>Määräytymistekijät!I30</f>
        <v>1</v>
      </c>
      <c r="J50" s="49">
        <f>Määräytymistekijät!J30</f>
        <v>33776</v>
      </c>
      <c r="K50" s="66"/>
      <c r="L50" s="49">
        <f>Määräytymistekijät!E30</f>
        <v>1587</v>
      </c>
      <c r="M50" s="125">
        <f>SUM(M28:M49)</f>
        <v>3489671</v>
      </c>
      <c r="N50" s="61"/>
    </row>
    <row r="51" spans="1:35" s="32" customFormat="1">
      <c r="A51" s="27"/>
      <c r="B51" s="50"/>
      <c r="C51" s="67"/>
      <c r="D51" s="68"/>
      <c r="E51" s="50"/>
      <c r="F51" s="68"/>
      <c r="G51" s="67"/>
      <c r="H51" s="67"/>
      <c r="I51" s="69"/>
      <c r="J51" s="70"/>
      <c r="K51" s="69"/>
      <c r="L51" s="67"/>
      <c r="M51" s="67"/>
      <c r="N51" s="61"/>
    </row>
    <row r="52" spans="1:35" s="32" customFormat="1" ht="16.5">
      <c r="A52" s="490" t="s">
        <v>201</v>
      </c>
      <c r="B52" s="490"/>
      <c r="C52" s="490"/>
      <c r="D52" s="490"/>
      <c r="E52" s="490"/>
      <c r="F52" s="490"/>
      <c r="G52" s="490"/>
      <c r="H52" s="490"/>
      <c r="I52" s="490"/>
      <c r="J52" s="490"/>
      <c r="K52" s="490"/>
      <c r="L52" s="490"/>
      <c r="M52" s="490"/>
      <c r="N52" s="490"/>
    </row>
    <row r="53" spans="1:35" s="32" customFormat="1" ht="25.5" customHeight="1">
      <c r="A53" s="41" t="s">
        <v>6</v>
      </c>
      <c r="B53" s="36" t="s">
        <v>7</v>
      </c>
      <c r="C53" s="522" t="s">
        <v>158</v>
      </c>
      <c r="D53" s="54" t="s">
        <v>159</v>
      </c>
      <c r="E53" s="54" t="s">
        <v>160</v>
      </c>
      <c r="F53" s="54" t="s">
        <v>161</v>
      </c>
      <c r="G53" s="523" t="s">
        <v>162</v>
      </c>
      <c r="H53" s="524" t="s">
        <v>163</v>
      </c>
      <c r="I53" s="524" t="s">
        <v>12</v>
      </c>
      <c r="J53" s="524" t="s">
        <v>164</v>
      </c>
      <c r="K53" s="524" t="s">
        <v>165</v>
      </c>
      <c r="L53" s="525" t="s">
        <v>166</v>
      </c>
      <c r="M53" s="525" t="s">
        <v>180</v>
      </c>
      <c r="N53" s="527" t="s">
        <v>196</v>
      </c>
    </row>
    <row r="54" spans="1:35" s="32" customFormat="1">
      <c r="A54" s="58">
        <v>31</v>
      </c>
      <c r="B54" s="177" t="s">
        <v>14</v>
      </c>
      <c r="C54" s="59">
        <f t="shared" ref="C54:C73" si="3">C28*$B$22</f>
        <v>424553958.8759892</v>
      </c>
      <c r="D54" s="59">
        <f t="shared" ref="D54:D73" si="4">D28*C28*$D$22</f>
        <v>1312175705.5170553</v>
      </c>
      <c r="E54" s="59">
        <f t="shared" ref="E54:E73" si="5">E28*C28*$E$22</f>
        <v>432502558.82430196</v>
      </c>
      <c r="F54" s="59">
        <f t="shared" ref="F54:F73" si="6">F28*C28*$F$22</f>
        <v>527405933.34704167</v>
      </c>
      <c r="G54" s="59">
        <f t="shared" ref="G54:G75" si="7">G28*$G$22</f>
        <v>121862259.55642436</v>
      </c>
      <c r="H54" s="59">
        <f t="shared" ref="H54:H75" si="8">H28*$H$22</f>
        <v>19595745.634822085</v>
      </c>
      <c r="I54" s="59">
        <f t="shared" ref="I54:I73" si="9">I28*C28*$I$22</f>
        <v>281390.93072899955</v>
      </c>
      <c r="J54" s="59">
        <f t="shared" ref="J54:J75" si="10">J28*$J$22</f>
        <v>0</v>
      </c>
      <c r="K54" s="59">
        <f t="shared" ref="K54:K73" si="11">C28*$K$22*K28</f>
        <v>42565259.727252357</v>
      </c>
      <c r="L54" s="59">
        <f t="shared" ref="L54:L75" si="12">L28*$L$22</f>
        <v>0</v>
      </c>
      <c r="M54" s="59">
        <f t="shared" ref="M54:M76" si="13">M28*$M$22</f>
        <v>28992646.486698296</v>
      </c>
      <c r="N54" s="73">
        <f t="shared" ref="N54:N77" si="14">SUM(C54:M54)</f>
        <v>2909935458.9003134</v>
      </c>
      <c r="P54" s="459"/>
      <c r="Q54" s="141"/>
      <c r="R54" s="460"/>
      <c r="S54" s="460"/>
      <c r="T54" s="460"/>
      <c r="U54" s="460"/>
      <c r="V54" s="460"/>
      <c r="W54" s="460"/>
      <c r="X54" s="460"/>
      <c r="Y54" s="460"/>
      <c r="Z54" s="141"/>
      <c r="AA54" s="141"/>
      <c r="AI54" s="499"/>
    </row>
    <row r="55" spans="1:35" s="32" customFormat="1">
      <c r="A55" s="74">
        <v>32</v>
      </c>
      <c r="B55" s="178" t="s">
        <v>41</v>
      </c>
      <c r="C55" s="59">
        <f t="shared" si="3"/>
        <v>179828628.05531484</v>
      </c>
      <c r="D55" s="59">
        <f t="shared" si="4"/>
        <v>567906459.69445908</v>
      </c>
      <c r="E55" s="59">
        <f t="shared" si="5"/>
        <v>150464039.70140943</v>
      </c>
      <c r="F55" s="59">
        <f t="shared" si="6"/>
        <v>240172949.47652724</v>
      </c>
      <c r="G55" s="59">
        <f t="shared" si="7"/>
        <v>68681294.792195261</v>
      </c>
      <c r="H55" s="59">
        <f t="shared" si="8"/>
        <v>3071564.8388484153</v>
      </c>
      <c r="I55" s="59">
        <f t="shared" si="9"/>
        <v>352794.30559242587</v>
      </c>
      <c r="J55" s="59">
        <f t="shared" si="10"/>
        <v>0</v>
      </c>
      <c r="K55" s="59">
        <f t="shared" si="11"/>
        <v>11944849.835752789</v>
      </c>
      <c r="L55" s="59">
        <f t="shared" si="12"/>
        <v>0</v>
      </c>
      <c r="M55" s="59">
        <f t="shared" si="13"/>
        <v>12280436.284704639</v>
      </c>
      <c r="N55" s="73">
        <f t="shared" si="14"/>
        <v>1234703016.9848044</v>
      </c>
      <c r="P55" s="459"/>
      <c r="Q55" s="141"/>
      <c r="R55" s="460"/>
      <c r="S55" s="460"/>
      <c r="T55" s="460"/>
      <c r="U55" s="460"/>
      <c r="V55" s="460"/>
      <c r="W55" s="460"/>
      <c r="X55" s="460"/>
      <c r="Y55" s="460"/>
      <c r="Z55" s="141"/>
      <c r="AA55" s="141"/>
      <c r="AI55" s="499"/>
    </row>
    <row r="56" spans="1:35" s="32" customFormat="1">
      <c r="A56" s="74">
        <v>33</v>
      </c>
      <c r="B56" s="178" t="s">
        <v>15</v>
      </c>
      <c r="C56" s="59">
        <f t="shared" si="3"/>
        <v>311621232.87836176</v>
      </c>
      <c r="D56" s="59">
        <f t="shared" si="4"/>
        <v>894842912.03910625</v>
      </c>
      <c r="E56" s="59">
        <f t="shared" si="5"/>
        <v>255812106.04808655</v>
      </c>
      <c r="F56" s="59">
        <f t="shared" si="6"/>
        <v>344522145.96280897</v>
      </c>
      <c r="G56" s="59">
        <f t="shared" si="7"/>
        <v>83349351.392931715</v>
      </c>
      <c r="H56" s="59">
        <f t="shared" si="8"/>
        <v>29846317.569821998</v>
      </c>
      <c r="I56" s="59">
        <f t="shared" si="9"/>
        <v>5576885.5185341602</v>
      </c>
      <c r="J56" s="59">
        <f t="shared" si="10"/>
        <v>0</v>
      </c>
      <c r="K56" s="59">
        <f t="shared" si="11"/>
        <v>39727146.161417916</v>
      </c>
      <c r="L56" s="59">
        <f t="shared" si="12"/>
        <v>0</v>
      </c>
      <c r="M56" s="59">
        <f t="shared" si="13"/>
        <v>21280508.763858777</v>
      </c>
      <c r="N56" s="73">
        <f t="shared" si="14"/>
        <v>1986578606.3349285</v>
      </c>
      <c r="P56" s="459"/>
      <c r="Q56" s="141"/>
      <c r="R56" s="460"/>
      <c r="S56" s="460"/>
      <c r="T56" s="460"/>
      <c r="U56" s="460"/>
      <c r="V56" s="460"/>
      <c r="W56" s="460"/>
      <c r="X56" s="460"/>
      <c r="Y56" s="460"/>
      <c r="Z56" s="141"/>
      <c r="AA56" s="141"/>
      <c r="AI56" s="499"/>
    </row>
    <row r="57" spans="1:35" s="32" customFormat="1">
      <c r="A57" s="74">
        <v>34</v>
      </c>
      <c r="B57" s="178" t="s">
        <v>16</v>
      </c>
      <c r="C57" s="59">
        <f t="shared" si="3"/>
        <v>61704563.069475465</v>
      </c>
      <c r="D57" s="59">
        <f t="shared" si="4"/>
        <v>201951130.76361766</v>
      </c>
      <c r="E57" s="59">
        <f t="shared" si="5"/>
        <v>72617329.973597109</v>
      </c>
      <c r="F57" s="59">
        <f t="shared" si="6"/>
        <v>74040307.808549374</v>
      </c>
      <c r="G57" s="59">
        <f t="shared" si="7"/>
        <v>6903947.7387578944</v>
      </c>
      <c r="H57" s="59">
        <f t="shared" si="8"/>
        <v>14362787.820959462</v>
      </c>
      <c r="I57" s="59">
        <f t="shared" si="9"/>
        <v>3544007.1760725966</v>
      </c>
      <c r="J57" s="59">
        <f t="shared" si="10"/>
        <v>0</v>
      </c>
      <c r="K57" s="59">
        <f t="shared" si="11"/>
        <v>7865505.2798021492</v>
      </c>
      <c r="L57" s="59">
        <f t="shared" si="12"/>
        <v>0</v>
      </c>
      <c r="M57" s="59">
        <f t="shared" si="13"/>
        <v>4213783.7753905756</v>
      </c>
      <c r="N57" s="73">
        <f t="shared" si="14"/>
        <v>447203363.40622228</v>
      </c>
      <c r="P57" s="459"/>
      <c r="Q57" s="141"/>
      <c r="R57" s="460"/>
      <c r="S57" s="460"/>
      <c r="T57" s="460"/>
      <c r="U57" s="460"/>
      <c r="V57" s="460"/>
      <c r="W57" s="460"/>
      <c r="X57" s="460"/>
      <c r="Y57" s="460"/>
      <c r="Z57" s="141"/>
      <c r="AA57" s="141"/>
      <c r="AI57" s="499"/>
    </row>
    <row r="58" spans="1:35" s="32" customFormat="1">
      <c r="A58" s="74">
        <v>35</v>
      </c>
      <c r="B58" s="178" t="s">
        <v>17</v>
      </c>
      <c r="C58" s="59">
        <f t="shared" si="3"/>
        <v>128523501.23015927</v>
      </c>
      <c r="D58" s="59">
        <f t="shared" si="4"/>
        <v>398244567.20513207</v>
      </c>
      <c r="E58" s="59">
        <f t="shared" si="5"/>
        <v>120989272.31622188</v>
      </c>
      <c r="F58" s="59">
        <f t="shared" si="6"/>
        <v>156760848.05859905</v>
      </c>
      <c r="G58" s="59">
        <f t="shared" si="7"/>
        <v>15056741.363610217</v>
      </c>
      <c r="H58" s="59">
        <f t="shared" si="8"/>
        <v>0</v>
      </c>
      <c r="I58" s="59">
        <f t="shared" si="9"/>
        <v>2189598.5872719972</v>
      </c>
      <c r="J58" s="59">
        <f t="shared" si="10"/>
        <v>0</v>
      </c>
      <c r="K58" s="59">
        <f t="shared" si="11"/>
        <v>9010443.6637166273</v>
      </c>
      <c r="L58" s="59">
        <f t="shared" si="12"/>
        <v>0</v>
      </c>
      <c r="M58" s="59">
        <f t="shared" si="13"/>
        <v>8776826.4987187702</v>
      </c>
      <c r="N58" s="73">
        <f t="shared" si="14"/>
        <v>839551798.92342997</v>
      </c>
      <c r="P58" s="459"/>
      <c r="Q58" s="141"/>
      <c r="R58" s="460"/>
      <c r="S58" s="460"/>
      <c r="T58" s="460"/>
      <c r="U58" s="460"/>
      <c r="V58" s="460"/>
      <c r="W58" s="460"/>
      <c r="X58" s="460"/>
      <c r="Y58" s="460"/>
      <c r="Z58" s="141"/>
      <c r="AA58" s="141"/>
      <c r="AI58" s="499"/>
    </row>
    <row r="59" spans="1:35" s="32" customFormat="1">
      <c r="A59" s="45">
        <v>2</v>
      </c>
      <c r="B59" s="178" t="s">
        <v>18</v>
      </c>
      <c r="C59" s="59">
        <f t="shared" si="3"/>
        <v>307122568.96318239</v>
      </c>
      <c r="D59" s="59">
        <f t="shared" si="4"/>
        <v>1092735838.292228</v>
      </c>
      <c r="E59" s="59">
        <f t="shared" si="5"/>
        <v>429174588.1468029</v>
      </c>
      <c r="F59" s="59">
        <f t="shared" si="6"/>
        <v>467638617.64295137</v>
      </c>
      <c r="G59" s="59">
        <f t="shared" si="7"/>
        <v>47587738.737045549</v>
      </c>
      <c r="H59" s="59">
        <f t="shared" si="8"/>
        <v>14618442.155672798</v>
      </c>
      <c r="I59" s="59">
        <f t="shared" si="9"/>
        <v>14000765.875080155</v>
      </c>
      <c r="J59" s="59">
        <f t="shared" si="10"/>
        <v>19402517.969458777</v>
      </c>
      <c r="K59" s="59">
        <f t="shared" si="11"/>
        <v>33387839.83485559</v>
      </c>
      <c r="L59" s="59">
        <f t="shared" si="12"/>
        <v>0</v>
      </c>
      <c r="M59" s="59">
        <f t="shared" si="13"/>
        <v>20973296.524216563</v>
      </c>
      <c r="N59" s="73">
        <f t="shared" si="14"/>
        <v>2446642214.1414943</v>
      </c>
      <c r="P59" s="459"/>
      <c r="Q59" s="141"/>
      <c r="R59" s="460"/>
      <c r="S59" s="460"/>
      <c r="T59" s="460"/>
      <c r="U59" s="460"/>
      <c r="V59" s="460"/>
      <c r="W59" s="460"/>
      <c r="X59" s="460"/>
      <c r="Y59" s="460"/>
      <c r="Z59" s="141"/>
      <c r="AA59" s="141"/>
      <c r="AI59" s="499"/>
    </row>
    <row r="60" spans="1:35" s="32" customFormat="1">
      <c r="A60" s="45">
        <v>4</v>
      </c>
      <c r="B60" s="178" t="s">
        <v>19</v>
      </c>
      <c r="C60" s="59">
        <f t="shared" si="3"/>
        <v>131124756.81356391</v>
      </c>
      <c r="D60" s="59">
        <f t="shared" si="4"/>
        <v>463423468.15758544</v>
      </c>
      <c r="E60" s="59">
        <f t="shared" si="5"/>
        <v>196562010.13538837</v>
      </c>
      <c r="F60" s="59">
        <f t="shared" si="6"/>
        <v>213865046.80492112</v>
      </c>
      <c r="G60" s="59">
        <f t="shared" si="7"/>
        <v>10956378.562441839</v>
      </c>
      <c r="H60" s="59">
        <f t="shared" si="8"/>
        <v>0</v>
      </c>
      <c r="I60" s="59">
        <f t="shared" si="9"/>
        <v>10259097.896561937</v>
      </c>
      <c r="J60" s="59">
        <f t="shared" si="10"/>
        <v>0</v>
      </c>
      <c r="K60" s="59">
        <f t="shared" si="11"/>
        <v>13927895.76508715</v>
      </c>
      <c r="L60" s="59">
        <f t="shared" si="12"/>
        <v>0</v>
      </c>
      <c r="M60" s="59">
        <f t="shared" si="13"/>
        <v>0</v>
      </c>
      <c r="N60" s="73">
        <f t="shared" si="14"/>
        <v>1040118654.1355498</v>
      </c>
      <c r="P60" s="459"/>
      <c r="Q60" s="141"/>
      <c r="R60" s="460"/>
      <c r="S60" s="460"/>
      <c r="T60" s="460"/>
      <c r="U60" s="460"/>
      <c r="V60" s="460"/>
      <c r="W60" s="460"/>
      <c r="X60" s="460"/>
      <c r="Y60" s="460"/>
      <c r="Z60" s="141"/>
      <c r="AA60" s="141"/>
      <c r="AI60" s="499"/>
    </row>
    <row r="61" spans="1:35" s="32" customFormat="1">
      <c r="A61" s="45">
        <v>5</v>
      </c>
      <c r="B61" s="178" t="s">
        <v>20</v>
      </c>
      <c r="C61" s="59">
        <f t="shared" si="3"/>
        <v>105176751.34474641</v>
      </c>
      <c r="D61" s="59">
        <f t="shared" si="4"/>
        <v>373565872.80713826</v>
      </c>
      <c r="E61" s="59">
        <f t="shared" si="5"/>
        <v>150168899.53589994</v>
      </c>
      <c r="F61" s="59">
        <f t="shared" si="6"/>
        <v>157442731.93834546</v>
      </c>
      <c r="G61" s="59">
        <f t="shared" si="7"/>
        <v>9688359.885353636</v>
      </c>
      <c r="H61" s="59">
        <f t="shared" si="8"/>
        <v>0</v>
      </c>
      <c r="I61" s="59">
        <f t="shared" si="9"/>
        <v>6818609.2220819723</v>
      </c>
      <c r="J61" s="59">
        <f t="shared" si="10"/>
        <v>0</v>
      </c>
      <c r="K61" s="59">
        <f t="shared" si="11"/>
        <v>13545184.382418452</v>
      </c>
      <c r="L61" s="59">
        <f t="shared" si="12"/>
        <v>0</v>
      </c>
      <c r="M61" s="59">
        <f t="shared" si="13"/>
        <v>0</v>
      </c>
      <c r="N61" s="73">
        <f t="shared" si="14"/>
        <v>816406409.1159842</v>
      </c>
      <c r="P61" s="459"/>
      <c r="Q61" s="141"/>
      <c r="R61" s="460"/>
      <c r="S61" s="460"/>
      <c r="T61" s="460"/>
      <c r="U61" s="460"/>
      <c r="V61" s="460"/>
      <c r="W61" s="460"/>
      <c r="X61" s="460"/>
      <c r="Y61" s="460"/>
      <c r="Z61" s="141"/>
      <c r="AA61" s="141"/>
      <c r="AI61" s="499"/>
    </row>
    <row r="62" spans="1:35" s="32" customFormat="1">
      <c r="A62" s="45">
        <v>6</v>
      </c>
      <c r="B62" s="178" t="s">
        <v>21</v>
      </c>
      <c r="C62" s="59">
        <f t="shared" si="3"/>
        <v>338520735.55771595</v>
      </c>
      <c r="D62" s="59">
        <f t="shared" si="4"/>
        <v>1165198020.8965313</v>
      </c>
      <c r="E62" s="59">
        <f t="shared" si="5"/>
        <v>427438764.01415706</v>
      </c>
      <c r="F62" s="59">
        <f t="shared" si="6"/>
        <v>480006514.87212628</v>
      </c>
      <c r="G62" s="59">
        <f t="shared" si="7"/>
        <v>35174228.05907692</v>
      </c>
      <c r="H62" s="59">
        <f t="shared" si="8"/>
        <v>0</v>
      </c>
      <c r="I62" s="59">
        <f t="shared" si="9"/>
        <v>17374231.106231015</v>
      </c>
      <c r="J62" s="59">
        <f t="shared" si="10"/>
        <v>0</v>
      </c>
      <c r="K62" s="59">
        <f t="shared" si="11"/>
        <v>36879497.016781747</v>
      </c>
      <c r="L62" s="59">
        <f t="shared" si="12"/>
        <v>0</v>
      </c>
      <c r="M62" s="59">
        <f t="shared" si="13"/>
        <v>23117466.718308832</v>
      </c>
      <c r="N62" s="73">
        <f t="shared" si="14"/>
        <v>2523709458.2409291</v>
      </c>
      <c r="P62" s="459"/>
      <c r="Q62" s="141"/>
      <c r="R62" s="460"/>
      <c r="S62" s="460"/>
      <c r="T62" s="460"/>
      <c r="U62" s="460"/>
      <c r="V62" s="460"/>
      <c r="W62" s="460"/>
      <c r="X62" s="460"/>
      <c r="Y62" s="460"/>
      <c r="Z62" s="141"/>
      <c r="AA62" s="141"/>
      <c r="AI62" s="499"/>
    </row>
    <row r="63" spans="1:35" s="32" customFormat="1">
      <c r="A63" s="45">
        <v>7</v>
      </c>
      <c r="B63" s="178" t="s">
        <v>22</v>
      </c>
      <c r="C63" s="59">
        <f t="shared" si="3"/>
        <v>127012153.7365801</v>
      </c>
      <c r="D63" s="59">
        <f t="shared" si="4"/>
        <v>459806538.93890989</v>
      </c>
      <c r="E63" s="59">
        <f t="shared" si="5"/>
        <v>186745217.05272606</v>
      </c>
      <c r="F63" s="59">
        <f t="shared" si="6"/>
        <v>200328207.92092675</v>
      </c>
      <c r="G63" s="59">
        <f t="shared" si="7"/>
        <v>13940362.033472769</v>
      </c>
      <c r="H63" s="59">
        <f t="shared" si="8"/>
        <v>0</v>
      </c>
      <c r="I63" s="59">
        <f t="shared" si="9"/>
        <v>7495269.3034323482</v>
      </c>
      <c r="J63" s="59">
        <f t="shared" si="10"/>
        <v>0</v>
      </c>
      <c r="K63" s="59">
        <f t="shared" si="11"/>
        <v>18483222.596207224</v>
      </c>
      <c r="L63" s="59">
        <f t="shared" si="12"/>
        <v>0</v>
      </c>
      <c r="M63" s="59">
        <f t="shared" si="13"/>
        <v>0</v>
      </c>
      <c r="N63" s="73">
        <f t="shared" si="14"/>
        <v>1013810971.5822551</v>
      </c>
      <c r="P63" s="459"/>
      <c r="Q63" s="141"/>
      <c r="R63" s="460"/>
      <c r="S63" s="460"/>
      <c r="T63" s="460"/>
      <c r="U63" s="460"/>
      <c r="V63" s="460"/>
      <c r="W63" s="460"/>
      <c r="X63" s="460"/>
      <c r="Y63" s="460"/>
      <c r="Z63" s="141"/>
      <c r="AA63" s="141"/>
      <c r="AI63" s="499"/>
    </row>
    <row r="64" spans="1:35" s="32" customFormat="1">
      <c r="A64" s="45">
        <v>8</v>
      </c>
      <c r="B64" s="178" t="s">
        <v>23</v>
      </c>
      <c r="C64" s="59">
        <f t="shared" si="3"/>
        <v>97720563.484226286</v>
      </c>
      <c r="D64" s="59">
        <f t="shared" si="4"/>
        <v>373552635.80585784</v>
      </c>
      <c r="E64" s="59">
        <f t="shared" si="5"/>
        <v>176451053.70370612</v>
      </c>
      <c r="F64" s="59">
        <f t="shared" si="6"/>
        <v>167138268.06492853</v>
      </c>
      <c r="G64" s="59">
        <f t="shared" si="7"/>
        <v>10797767.291493349</v>
      </c>
      <c r="H64" s="59">
        <f t="shared" si="8"/>
        <v>616858.90305313538</v>
      </c>
      <c r="I64" s="59">
        <f t="shared" si="9"/>
        <v>5979065.519211188</v>
      </c>
      <c r="J64" s="59">
        <f t="shared" si="10"/>
        <v>0</v>
      </c>
      <c r="K64" s="59">
        <f t="shared" si="11"/>
        <v>9304373.4743140936</v>
      </c>
      <c r="L64" s="59">
        <f t="shared" si="12"/>
        <v>0</v>
      </c>
      <c r="M64" s="59">
        <f t="shared" si="13"/>
        <v>0</v>
      </c>
      <c r="N64" s="73">
        <f t="shared" si="14"/>
        <v>841560586.24679053</v>
      </c>
      <c r="P64" s="459"/>
      <c r="Q64" s="141"/>
      <c r="R64" s="460"/>
      <c r="S64" s="460"/>
      <c r="T64" s="460"/>
      <c r="U64" s="460"/>
      <c r="V64" s="460"/>
      <c r="W64" s="460"/>
      <c r="X64" s="460"/>
      <c r="Y64" s="460"/>
      <c r="Z64" s="141"/>
      <c r="AA64" s="141"/>
      <c r="AI64" s="499"/>
    </row>
    <row r="65" spans="1:35" s="32" customFormat="1">
      <c r="A65" s="45">
        <v>9</v>
      </c>
      <c r="B65" s="178" t="s">
        <v>24</v>
      </c>
      <c r="C65" s="59">
        <f t="shared" si="3"/>
        <v>77636089.749224961</v>
      </c>
      <c r="D65" s="59">
        <f t="shared" si="4"/>
        <v>264442735.8249279</v>
      </c>
      <c r="E65" s="59">
        <f t="shared" si="5"/>
        <v>116296954.7307632</v>
      </c>
      <c r="F65" s="59">
        <f t="shared" si="6"/>
        <v>110821999.49040006</v>
      </c>
      <c r="G65" s="59">
        <f t="shared" si="7"/>
        <v>10282716.406160615</v>
      </c>
      <c r="H65" s="59">
        <f t="shared" si="8"/>
        <v>0</v>
      </c>
      <c r="I65" s="59">
        <f t="shared" si="9"/>
        <v>6986043.2515137875</v>
      </c>
      <c r="J65" s="59">
        <f t="shared" si="10"/>
        <v>0</v>
      </c>
      <c r="K65" s="59">
        <f t="shared" si="11"/>
        <v>8987539.3347926065</v>
      </c>
      <c r="L65" s="59">
        <f t="shared" si="12"/>
        <v>0</v>
      </c>
      <c r="M65" s="59">
        <f t="shared" si="13"/>
        <v>0</v>
      </c>
      <c r="N65" s="73">
        <f t="shared" si="14"/>
        <v>595454078.78778315</v>
      </c>
      <c r="P65" s="459"/>
      <c r="Q65" s="141"/>
      <c r="R65" s="460"/>
      <c r="S65" s="460"/>
      <c r="T65" s="460"/>
      <c r="U65" s="460"/>
      <c r="V65" s="460"/>
      <c r="W65" s="460"/>
      <c r="X65" s="460"/>
      <c r="Y65" s="460"/>
      <c r="Z65" s="141"/>
      <c r="AA65" s="141"/>
      <c r="AI65" s="499"/>
    </row>
    <row r="66" spans="1:35" s="32" customFormat="1">
      <c r="A66" s="45">
        <v>10</v>
      </c>
      <c r="B66" s="178" t="s">
        <v>25</v>
      </c>
      <c r="C66" s="59">
        <f t="shared" si="3"/>
        <v>80300654.344680965</v>
      </c>
      <c r="D66" s="59">
        <f t="shared" si="4"/>
        <v>315138868.11816847</v>
      </c>
      <c r="E66" s="59">
        <f t="shared" si="5"/>
        <v>152911726.14651114</v>
      </c>
      <c r="F66" s="59">
        <f t="shared" si="6"/>
        <v>143335558.90999538</v>
      </c>
      <c r="G66" s="59">
        <f t="shared" si="7"/>
        <v>6575395.8203645935</v>
      </c>
      <c r="H66" s="59">
        <f t="shared" si="8"/>
        <v>0</v>
      </c>
      <c r="I66" s="59">
        <f t="shared" si="9"/>
        <v>16592413.327354502</v>
      </c>
      <c r="J66" s="59">
        <f t="shared" si="10"/>
        <v>4985695.715255742</v>
      </c>
      <c r="K66" s="59">
        <f t="shared" si="11"/>
        <v>12266029.103378762</v>
      </c>
      <c r="L66" s="59">
        <f t="shared" si="12"/>
        <v>0</v>
      </c>
      <c r="M66" s="59">
        <f t="shared" si="13"/>
        <v>0</v>
      </c>
      <c r="N66" s="73">
        <f t="shared" si="14"/>
        <v>732106341.48570967</v>
      </c>
      <c r="P66" s="459"/>
      <c r="Q66" s="141"/>
      <c r="R66" s="460"/>
      <c r="S66" s="460"/>
      <c r="T66" s="460"/>
      <c r="U66" s="460"/>
      <c r="V66" s="460"/>
      <c r="W66" s="460"/>
      <c r="X66" s="460"/>
      <c r="Y66" s="460"/>
      <c r="Z66" s="141"/>
      <c r="AA66" s="141"/>
      <c r="AI66" s="499"/>
    </row>
    <row r="67" spans="1:35" s="32" customFormat="1">
      <c r="A67" s="45">
        <v>11</v>
      </c>
      <c r="B67" s="178" t="s">
        <v>26</v>
      </c>
      <c r="C67" s="59">
        <f t="shared" si="3"/>
        <v>154433645.4270637</v>
      </c>
      <c r="D67" s="59">
        <f t="shared" si="4"/>
        <v>572059253.64492118</v>
      </c>
      <c r="E67" s="59">
        <f t="shared" si="5"/>
        <v>238233827.9017044</v>
      </c>
      <c r="F67" s="59">
        <f t="shared" si="6"/>
        <v>271407663.00132549</v>
      </c>
      <c r="G67" s="59">
        <f t="shared" si="7"/>
        <v>11398224.245798346</v>
      </c>
      <c r="H67" s="59">
        <f t="shared" si="8"/>
        <v>0</v>
      </c>
      <c r="I67" s="59">
        <f t="shared" si="9"/>
        <v>22747003.947125282</v>
      </c>
      <c r="J67" s="59">
        <f t="shared" si="10"/>
        <v>0</v>
      </c>
      <c r="K67" s="59">
        <f t="shared" si="11"/>
        <v>23449044.02322479</v>
      </c>
      <c r="L67" s="59">
        <f t="shared" si="12"/>
        <v>0</v>
      </c>
      <c r="M67" s="59">
        <f t="shared" si="13"/>
        <v>10546221.496492544</v>
      </c>
      <c r="N67" s="73">
        <f t="shared" si="14"/>
        <v>1304274883.6876557</v>
      </c>
      <c r="P67" s="459"/>
      <c r="Q67" s="141"/>
      <c r="R67" s="460"/>
      <c r="S67" s="460"/>
      <c r="T67" s="460"/>
      <c r="U67" s="460"/>
      <c r="V67" s="460"/>
      <c r="W67" s="460"/>
      <c r="X67" s="460"/>
      <c r="Y67" s="460"/>
      <c r="Z67" s="141"/>
      <c r="AA67" s="141"/>
      <c r="AI67" s="499"/>
    </row>
    <row r="68" spans="1:35" s="32" customFormat="1">
      <c r="A68" s="45">
        <v>12</v>
      </c>
      <c r="B68" s="178" t="s">
        <v>27</v>
      </c>
      <c r="C68" s="59">
        <f t="shared" si="3"/>
        <v>100606088.94527332</v>
      </c>
      <c r="D68" s="59">
        <f t="shared" si="4"/>
        <v>407424293.28610736</v>
      </c>
      <c r="E68" s="59">
        <f t="shared" si="5"/>
        <v>171726086.29541349</v>
      </c>
      <c r="F68" s="59">
        <f t="shared" si="6"/>
        <v>190223112.97238067</v>
      </c>
      <c r="G68" s="59">
        <f t="shared" si="7"/>
        <v>9297060.6509807147</v>
      </c>
      <c r="H68" s="59">
        <f t="shared" si="8"/>
        <v>0</v>
      </c>
      <c r="I68" s="59">
        <f t="shared" si="9"/>
        <v>24645664.926551554</v>
      </c>
      <c r="J68" s="59">
        <f t="shared" si="10"/>
        <v>0</v>
      </c>
      <c r="K68" s="59">
        <f t="shared" si="11"/>
        <v>10219803.968362585</v>
      </c>
      <c r="L68" s="59">
        <f t="shared" si="12"/>
        <v>0</v>
      </c>
      <c r="M68" s="59">
        <f t="shared" si="13"/>
        <v>0</v>
      </c>
      <c r="N68" s="73">
        <f t="shared" si="14"/>
        <v>914142111.04506969</v>
      </c>
      <c r="P68" s="459"/>
      <c r="Q68" s="141"/>
      <c r="R68" s="460"/>
      <c r="S68" s="460"/>
      <c r="T68" s="460"/>
      <c r="U68" s="460"/>
      <c r="V68" s="460"/>
      <c r="W68" s="460"/>
      <c r="X68" s="460"/>
      <c r="Y68" s="460"/>
      <c r="Z68" s="141"/>
      <c r="AA68" s="141"/>
      <c r="AI68" s="499"/>
    </row>
    <row r="69" spans="1:35" s="32" customFormat="1">
      <c r="A69" s="45">
        <v>13</v>
      </c>
      <c r="B69" s="178" t="s">
        <v>28</v>
      </c>
      <c r="C69" s="59">
        <f t="shared" si="3"/>
        <v>170134901.09239107</v>
      </c>
      <c r="D69" s="59">
        <f t="shared" si="4"/>
        <v>560617847.43450034</v>
      </c>
      <c r="E69" s="59">
        <f t="shared" si="5"/>
        <v>222003732.24216497</v>
      </c>
      <c r="F69" s="59">
        <f t="shared" si="6"/>
        <v>257994449.99477914</v>
      </c>
      <c r="G69" s="59">
        <f t="shared" si="7"/>
        <v>13086301.34375013</v>
      </c>
      <c r="H69" s="59">
        <f t="shared" si="8"/>
        <v>0</v>
      </c>
      <c r="I69" s="59">
        <f t="shared" si="9"/>
        <v>21037611.086965095</v>
      </c>
      <c r="J69" s="59">
        <f t="shared" si="10"/>
        <v>0</v>
      </c>
      <c r="K69" s="59">
        <f t="shared" si="11"/>
        <v>18565728.14771273</v>
      </c>
      <c r="L69" s="59">
        <f t="shared" si="12"/>
        <v>0</v>
      </c>
      <c r="M69" s="59">
        <f t="shared" si="13"/>
        <v>0</v>
      </c>
      <c r="N69" s="73">
        <f t="shared" si="14"/>
        <v>1263440571.3422637</v>
      </c>
      <c r="P69" s="459"/>
      <c r="Q69" s="141"/>
      <c r="R69" s="460"/>
      <c r="S69" s="460"/>
      <c r="T69" s="460"/>
      <c r="U69" s="460"/>
      <c r="V69" s="460"/>
      <c r="W69" s="460"/>
      <c r="X69" s="460"/>
      <c r="Y69" s="460"/>
      <c r="Z69" s="141"/>
      <c r="AA69" s="141"/>
      <c r="AI69" s="499"/>
    </row>
    <row r="70" spans="1:35" s="32" customFormat="1">
      <c r="A70" s="45">
        <v>14</v>
      </c>
      <c r="B70" s="178" t="s">
        <v>29</v>
      </c>
      <c r="C70" s="59">
        <f t="shared" si="3"/>
        <v>117884483.82258618</v>
      </c>
      <c r="D70" s="59">
        <f t="shared" si="4"/>
        <v>437798347.76021969</v>
      </c>
      <c r="E70" s="59">
        <f t="shared" si="5"/>
        <v>193709418.50610593</v>
      </c>
      <c r="F70" s="59">
        <f t="shared" si="6"/>
        <v>191764841.2202695</v>
      </c>
      <c r="G70" s="59">
        <f t="shared" si="7"/>
        <v>7171495.3221710064</v>
      </c>
      <c r="H70" s="59">
        <f t="shared" si="8"/>
        <v>0</v>
      </c>
      <c r="I70" s="59">
        <f t="shared" si="9"/>
        <v>18094900.320004106</v>
      </c>
      <c r="J70" s="59">
        <f t="shared" si="10"/>
        <v>0</v>
      </c>
      <c r="K70" s="59">
        <f t="shared" si="11"/>
        <v>23333388.737293135</v>
      </c>
      <c r="L70" s="59">
        <f t="shared" si="12"/>
        <v>0</v>
      </c>
      <c r="M70" s="59">
        <f t="shared" si="13"/>
        <v>0</v>
      </c>
      <c r="N70" s="73">
        <f t="shared" si="14"/>
        <v>989756875.68864942</v>
      </c>
      <c r="P70" s="459"/>
      <c r="Q70" s="141"/>
      <c r="R70" s="460"/>
      <c r="S70" s="460"/>
      <c r="T70" s="460"/>
      <c r="U70" s="460"/>
      <c r="V70" s="460"/>
      <c r="W70" s="460"/>
      <c r="X70" s="460"/>
      <c r="Y70" s="460"/>
      <c r="Z70" s="141"/>
      <c r="AA70" s="141"/>
      <c r="AI70" s="499"/>
    </row>
    <row r="71" spans="1:35" s="32" customFormat="1">
      <c r="A71" s="45">
        <v>15</v>
      </c>
      <c r="B71" s="178" t="s">
        <v>30</v>
      </c>
      <c r="C71" s="59">
        <f t="shared" si="3"/>
        <v>110945319.56048554</v>
      </c>
      <c r="D71" s="59">
        <f t="shared" si="4"/>
        <v>354901205.81936103</v>
      </c>
      <c r="E71" s="59">
        <f t="shared" si="5"/>
        <v>135255987.84317473</v>
      </c>
      <c r="F71" s="59">
        <f t="shared" si="6"/>
        <v>136990658.96135163</v>
      </c>
      <c r="G71" s="59">
        <f t="shared" si="7"/>
        <v>16648954.506593134</v>
      </c>
      <c r="H71" s="59">
        <f t="shared" si="8"/>
        <v>46871729.374725342</v>
      </c>
      <c r="I71" s="59">
        <f t="shared" si="9"/>
        <v>9708052.6779878251</v>
      </c>
      <c r="J71" s="59">
        <f t="shared" si="10"/>
        <v>4766573.5014357837</v>
      </c>
      <c r="K71" s="59">
        <f t="shared" si="11"/>
        <v>12911360.720795261</v>
      </c>
      <c r="L71" s="59">
        <f t="shared" si="12"/>
        <v>0</v>
      </c>
      <c r="M71" s="59">
        <f t="shared" si="13"/>
        <v>0</v>
      </c>
      <c r="N71" s="73">
        <f t="shared" si="14"/>
        <v>828999842.9659102</v>
      </c>
      <c r="P71" s="459"/>
      <c r="Q71" s="141"/>
      <c r="R71" s="460"/>
      <c r="S71" s="460"/>
      <c r="T71" s="460"/>
      <c r="U71" s="460"/>
      <c r="V71" s="460"/>
      <c r="W71" s="460"/>
      <c r="X71" s="460"/>
      <c r="Y71" s="460"/>
      <c r="Z71" s="141"/>
      <c r="AA71" s="141"/>
      <c r="AI71" s="499"/>
    </row>
    <row r="72" spans="1:35" s="32" customFormat="1">
      <c r="A72" s="45">
        <v>16</v>
      </c>
      <c r="B72" s="178" t="s">
        <v>31</v>
      </c>
      <c r="C72" s="59">
        <f t="shared" si="3"/>
        <v>42034080.619162969</v>
      </c>
      <c r="D72" s="59">
        <f t="shared" si="4"/>
        <v>153874161.36171842</v>
      </c>
      <c r="E72" s="59">
        <f t="shared" si="5"/>
        <v>63542319.911098905</v>
      </c>
      <c r="F72" s="59">
        <f t="shared" si="6"/>
        <v>74043059.227122068</v>
      </c>
      <c r="G72" s="59">
        <f t="shared" si="7"/>
        <v>2862846.2915702704</v>
      </c>
      <c r="H72" s="59">
        <f t="shared" si="8"/>
        <v>3129909.1890941979</v>
      </c>
      <c r="I72" s="59">
        <f t="shared" si="9"/>
        <v>6583679.6608922053</v>
      </c>
      <c r="J72" s="59">
        <f t="shared" si="10"/>
        <v>0</v>
      </c>
      <c r="K72" s="59">
        <f t="shared" si="11"/>
        <v>3549413.0189046259</v>
      </c>
      <c r="L72" s="59">
        <f t="shared" si="12"/>
        <v>0</v>
      </c>
      <c r="M72" s="59">
        <f t="shared" si="13"/>
        <v>0</v>
      </c>
      <c r="N72" s="73">
        <f t="shared" si="14"/>
        <v>349619469.27956361</v>
      </c>
      <c r="P72" s="459"/>
      <c r="Q72" s="141"/>
      <c r="R72" s="460"/>
      <c r="S72" s="460"/>
      <c r="T72" s="460"/>
      <c r="U72" s="460"/>
      <c r="V72" s="460"/>
      <c r="W72" s="460"/>
      <c r="X72" s="460"/>
      <c r="Y72" s="460"/>
      <c r="Z72" s="141"/>
      <c r="AA72" s="141"/>
      <c r="AI72" s="499"/>
    </row>
    <row r="73" spans="1:35" s="32" customFormat="1">
      <c r="A73" s="45">
        <v>17</v>
      </c>
      <c r="B73" s="178" t="s">
        <v>32</v>
      </c>
      <c r="C73" s="59">
        <f t="shared" si="3"/>
        <v>259648258.04372317</v>
      </c>
      <c r="D73" s="59">
        <f t="shared" si="4"/>
        <v>859116817.84923434</v>
      </c>
      <c r="E73" s="59">
        <f t="shared" si="5"/>
        <v>325510403.22755843</v>
      </c>
      <c r="F73" s="59">
        <f t="shared" si="6"/>
        <v>463981807.18551213</v>
      </c>
      <c r="G73" s="59">
        <f t="shared" si="7"/>
        <v>16850268.812027756</v>
      </c>
      <c r="H73" s="59">
        <f t="shared" si="8"/>
        <v>0</v>
      </c>
      <c r="I73" s="59">
        <f t="shared" si="9"/>
        <v>48300508.035921127</v>
      </c>
      <c r="J73" s="59">
        <f t="shared" si="10"/>
        <v>809066.6356429247</v>
      </c>
      <c r="K73" s="59">
        <f t="shared" si="11"/>
        <v>27223307.950038191</v>
      </c>
      <c r="L73" s="59">
        <f t="shared" si="12"/>
        <v>0</v>
      </c>
      <c r="M73" s="59">
        <f t="shared" si="13"/>
        <v>17731291.862826686</v>
      </c>
      <c r="N73" s="73">
        <f t="shared" si="14"/>
        <v>2019171729.6024845</v>
      </c>
      <c r="P73" s="459"/>
      <c r="Q73" s="141"/>
      <c r="R73" s="460"/>
      <c r="S73" s="460"/>
      <c r="T73" s="460"/>
      <c r="U73" s="460"/>
      <c r="V73" s="460"/>
      <c r="W73" s="460"/>
      <c r="X73" s="460"/>
      <c r="Y73" s="460"/>
      <c r="Z73" s="141"/>
      <c r="AA73" s="141"/>
      <c r="AI73" s="499"/>
    </row>
    <row r="74" spans="1:35" s="32" customFormat="1">
      <c r="A74" s="45">
        <v>18</v>
      </c>
      <c r="B74" s="178" t="s">
        <v>33</v>
      </c>
      <c r="C74" s="59">
        <f t="shared" ref="C74:C75" si="15">C48*$B$22</f>
        <v>43223296.963186659</v>
      </c>
      <c r="D74" s="59">
        <f t="shared" ref="D74:D75" si="16">D48*C48*$D$22</f>
        <v>166945388.11087543</v>
      </c>
      <c r="E74" s="59">
        <f t="shared" ref="E74:E75" si="17">E48*C48*$E$22</f>
        <v>78741353.787954256</v>
      </c>
      <c r="F74" s="59">
        <f t="shared" ref="F74:F75" si="18">F48*C48*$F$22</f>
        <v>80562351.440728471</v>
      </c>
      <c r="G74" s="59">
        <f t="shared" si="7"/>
        <v>3557424.2198447012</v>
      </c>
      <c r="H74" s="59">
        <f t="shared" si="8"/>
        <v>0</v>
      </c>
      <c r="I74" s="59">
        <f t="shared" ref="I74:I75" si="19">I48*C48*$I$22</f>
        <v>26487871.998027951</v>
      </c>
      <c r="J74" s="59">
        <f t="shared" si="10"/>
        <v>0</v>
      </c>
      <c r="K74" s="59">
        <f t="shared" ref="K74:K75" si="20">C48*$K$22*K48</f>
        <v>5877432.2876300374</v>
      </c>
      <c r="L74" s="59">
        <f t="shared" si="12"/>
        <v>0</v>
      </c>
      <c r="M74" s="59">
        <f t="shared" si="13"/>
        <v>0</v>
      </c>
      <c r="N74" s="73">
        <f t="shared" si="14"/>
        <v>405395118.80824751</v>
      </c>
      <c r="P74" s="459"/>
      <c r="Q74" s="141"/>
      <c r="R74" s="460"/>
      <c r="S74" s="460"/>
      <c r="T74" s="460"/>
      <c r="U74" s="460"/>
      <c r="V74" s="460"/>
      <c r="W74" s="460"/>
      <c r="X74" s="460"/>
      <c r="Y74" s="460"/>
      <c r="Z74" s="141"/>
      <c r="AA74" s="141"/>
      <c r="AI74" s="499"/>
    </row>
    <row r="75" spans="1:35" s="32" customFormat="1">
      <c r="A75" s="45">
        <v>19</v>
      </c>
      <c r="B75" s="178" t="s">
        <v>34</v>
      </c>
      <c r="C75" s="59">
        <f t="shared" si="15"/>
        <v>109332801.78294194</v>
      </c>
      <c r="D75" s="59">
        <f t="shared" si="16"/>
        <v>414892110.03717136</v>
      </c>
      <c r="E75" s="59">
        <f t="shared" si="17"/>
        <v>174708367.63332331</v>
      </c>
      <c r="F75" s="59">
        <f t="shared" si="18"/>
        <v>217428752.76966316</v>
      </c>
      <c r="G75" s="59">
        <f t="shared" si="7"/>
        <v>7269102.2581393076</v>
      </c>
      <c r="H75" s="59">
        <f t="shared" si="8"/>
        <v>0</v>
      </c>
      <c r="I75" s="59">
        <f t="shared" si="19"/>
        <v>121557000.45895728</v>
      </c>
      <c r="J75" s="59">
        <f t="shared" si="10"/>
        <v>0</v>
      </c>
      <c r="K75" s="59">
        <f t="shared" si="20"/>
        <v>14677794.786789456</v>
      </c>
      <c r="L75" s="59">
        <f t="shared" si="12"/>
        <v>3541182.7243937454</v>
      </c>
      <c r="M75" s="59">
        <f t="shared" si="13"/>
        <v>0</v>
      </c>
      <c r="N75" s="73">
        <f t="shared" si="14"/>
        <v>1063407112.4513794</v>
      </c>
      <c r="P75" s="459"/>
      <c r="Q75" s="141"/>
      <c r="R75" s="460"/>
      <c r="S75" s="460"/>
      <c r="T75" s="460"/>
      <c r="U75" s="460"/>
      <c r="V75" s="460"/>
      <c r="W75" s="460"/>
      <c r="X75" s="460"/>
      <c r="Y75" s="460"/>
      <c r="Z75" s="141"/>
      <c r="AA75" s="141"/>
      <c r="AI75" s="499"/>
    </row>
    <row r="76" spans="1:35" s="32" customFormat="1">
      <c r="A76" s="48"/>
      <c r="B76" s="177" t="s">
        <v>35</v>
      </c>
      <c r="C76" s="49">
        <f t="shared" ref="C76:L76" si="21">SUM(C54:C75)</f>
        <v>3479089034.3600354</v>
      </c>
      <c r="D76" s="49">
        <f t="shared" si="21"/>
        <v>11810614179.364826</v>
      </c>
      <c r="E76" s="49">
        <f t="shared" si="21"/>
        <v>4471566017.678071</v>
      </c>
      <c r="F76" s="49">
        <f t="shared" si="21"/>
        <v>5167875827.0712538</v>
      </c>
      <c r="G76" s="49">
        <f t="shared" si="21"/>
        <v>528998219.29020399</v>
      </c>
      <c r="H76" s="49">
        <f t="shared" si="21"/>
        <v>132113355.48699744</v>
      </c>
      <c r="I76" s="49">
        <f t="shared" si="21"/>
        <v>396612465.13209951</v>
      </c>
      <c r="J76" s="49">
        <f t="shared" si="21"/>
        <v>29963853.821793225</v>
      </c>
      <c r="K76" s="49">
        <f t="shared" si="21"/>
        <v>397702059.81652826</v>
      </c>
      <c r="L76" s="49">
        <f t="shared" si="21"/>
        <v>3541182.7243937454</v>
      </c>
      <c r="M76" s="49">
        <f t="shared" si="13"/>
        <v>147912478.41121569</v>
      </c>
      <c r="N76" s="73">
        <f t="shared" si="14"/>
        <v>26565988673.157413</v>
      </c>
      <c r="P76" s="459"/>
      <c r="Q76" s="141"/>
      <c r="R76" s="460"/>
      <c r="S76" s="460"/>
      <c r="T76" s="460"/>
      <c r="U76" s="460"/>
      <c r="V76" s="460"/>
      <c r="W76" s="460"/>
      <c r="X76" s="460"/>
      <c r="Y76" s="460"/>
      <c r="Z76" s="141"/>
      <c r="AA76" s="141"/>
      <c r="AI76" s="499"/>
    </row>
    <row r="77" spans="1:35" s="32" customFormat="1">
      <c r="A77" s="403"/>
      <c r="B77" s="179" t="s">
        <v>174</v>
      </c>
      <c r="C77" s="526">
        <f t="shared" ref="C77:M77" si="22">C76/$N$76</f>
        <v>0.13096026943184494</v>
      </c>
      <c r="D77" s="526">
        <f t="shared" si="22"/>
        <v>0.44457649683854639</v>
      </c>
      <c r="E77" s="526">
        <f t="shared" si="22"/>
        <v>0.16831920214571927</v>
      </c>
      <c r="F77" s="526">
        <f t="shared" si="22"/>
        <v>0.19452977604755722</v>
      </c>
      <c r="G77" s="526">
        <f t="shared" si="22"/>
        <v>1.9912611790906542E-2</v>
      </c>
      <c r="H77" s="526">
        <f t="shared" si="22"/>
        <v>4.9730261166785151E-3</v>
      </c>
      <c r="I77" s="526">
        <f t="shared" si="22"/>
        <v>1.492933201213179E-2</v>
      </c>
      <c r="J77" s="526">
        <f t="shared" si="22"/>
        <v>1.1279028305868795E-3</v>
      </c>
      <c r="K77" s="526">
        <f t="shared" si="22"/>
        <v>1.4970346660516764E-2</v>
      </c>
      <c r="L77" s="526">
        <f t="shared" si="22"/>
        <v>1.3329760725117669E-4</v>
      </c>
      <c r="M77" s="526">
        <f t="shared" si="22"/>
        <v>5.5677385182606887E-3</v>
      </c>
      <c r="N77" s="526">
        <f t="shared" si="14"/>
        <v>1.0000000000000002</v>
      </c>
      <c r="Q77" s="141"/>
    </row>
    <row r="78" spans="1:35" s="32" customFormat="1">
      <c r="A78" s="27"/>
      <c r="B78" s="50"/>
      <c r="C78" s="29"/>
      <c r="D78" s="134"/>
      <c r="E78" s="134"/>
      <c r="F78" s="134"/>
      <c r="G78" s="30"/>
      <c r="H78" s="30"/>
      <c r="I78" s="30"/>
      <c r="J78" s="30"/>
      <c r="K78" s="30"/>
      <c r="L78" s="30"/>
      <c r="M78" s="30"/>
      <c r="N78" s="30"/>
    </row>
    <row r="79" spans="1:35" s="32" customFormat="1">
      <c r="A79" s="27"/>
      <c r="B79" s="50"/>
      <c r="C79" s="29"/>
      <c r="D79" s="134"/>
      <c r="E79" s="134"/>
      <c r="F79" s="134"/>
      <c r="G79" s="30"/>
      <c r="H79" s="30"/>
      <c r="I79" s="30"/>
      <c r="J79" s="30"/>
      <c r="K79" s="30"/>
      <c r="L79" s="30"/>
      <c r="M79" s="30"/>
      <c r="N79" s="30"/>
    </row>
    <row r="80" spans="1:35" s="32" customFormat="1">
      <c r="A80" s="27"/>
      <c r="B80" s="50"/>
      <c r="C80" s="29"/>
      <c r="D80" s="134"/>
      <c r="E80" s="134"/>
      <c r="F80" s="134"/>
      <c r="G80" s="30"/>
      <c r="H80" s="30"/>
      <c r="I80" s="30"/>
      <c r="J80" s="30"/>
      <c r="K80" s="30"/>
      <c r="L80" s="30"/>
      <c r="M80" s="30"/>
      <c r="N80" s="30"/>
    </row>
    <row r="81" spans="1:27" s="32" customFormat="1" ht="17" thickBot="1">
      <c r="A81" s="175" t="s">
        <v>202</v>
      </c>
      <c r="B81" s="175"/>
      <c r="C81" s="175"/>
      <c r="D81" s="175"/>
      <c r="E81" s="175"/>
      <c r="F81" s="175"/>
      <c r="G81" s="175"/>
      <c r="H81" s="175"/>
      <c r="I81" s="175"/>
      <c r="J81" s="175"/>
      <c r="K81" s="175"/>
      <c r="L81" s="175"/>
      <c r="M81" s="175"/>
      <c r="N81" s="175"/>
      <c r="Z81" s="141"/>
      <c r="AA81" s="141"/>
    </row>
    <row r="82" spans="1:27" s="32" customFormat="1" ht="16" thickTop="1">
      <c r="A82" s="41" t="s">
        <v>6</v>
      </c>
      <c r="B82" s="41" t="s">
        <v>7</v>
      </c>
      <c r="C82" s="71" t="s">
        <v>158</v>
      </c>
      <c r="D82" s="42" t="s">
        <v>159</v>
      </c>
      <c r="E82" s="42" t="s">
        <v>160</v>
      </c>
      <c r="F82" s="42" t="s">
        <v>161</v>
      </c>
      <c r="G82" s="43" t="s">
        <v>162</v>
      </c>
      <c r="H82" s="41" t="s">
        <v>163</v>
      </c>
      <c r="I82" s="41" t="s">
        <v>12</v>
      </c>
      <c r="J82" s="41" t="s">
        <v>164</v>
      </c>
      <c r="K82" s="41" t="s">
        <v>165</v>
      </c>
      <c r="L82" s="44" t="s">
        <v>166</v>
      </c>
      <c r="M82" s="44" t="s">
        <v>180</v>
      </c>
      <c r="N82" s="72" t="s">
        <v>212</v>
      </c>
      <c r="Z82" s="141"/>
      <c r="AA82" s="141"/>
    </row>
    <row r="83" spans="1:27" s="32" customFormat="1">
      <c r="A83" s="58">
        <v>31</v>
      </c>
      <c r="B83" s="48" t="s">
        <v>14</v>
      </c>
      <c r="C83" s="59">
        <f t="shared" ref="C83:C102" si="23">C54/C28</f>
        <v>620.67658873887706</v>
      </c>
      <c r="D83" s="59">
        <f t="shared" ref="D83:D102" si="24">D54/C28</f>
        <v>1918.3350518802945</v>
      </c>
      <c r="E83" s="59">
        <f t="shared" ref="E83:E102" si="25">E54/C28</f>
        <v>632.29704309579859</v>
      </c>
      <c r="F83" s="59">
        <f t="shared" ref="F83:F102" si="26">F54/C28</f>
        <v>771.04101550988673</v>
      </c>
      <c r="G83" s="59">
        <f t="shared" ref="G83:G102" si="27">G54/C28</f>
        <v>178.15650985270031</v>
      </c>
      <c r="H83" s="59">
        <f t="shared" ref="H83:H102" si="28">H54/C28</f>
        <v>28.647997033443691</v>
      </c>
      <c r="I83" s="59">
        <f t="shared" ref="I83:I102" si="29">I54/C28</f>
        <v>0.41137942382948922</v>
      </c>
      <c r="J83" s="59">
        <f t="shared" ref="J83:J102" si="30">J54/C28</f>
        <v>0</v>
      </c>
      <c r="K83" s="59">
        <f t="shared" ref="K83:K102" si="31">K54/C28</f>
        <v>62.228274295782214</v>
      </c>
      <c r="L83" s="59">
        <f t="shared" ref="L83:L102" si="32">L54/C28</f>
        <v>0</v>
      </c>
      <c r="M83" s="59">
        <f t="shared" ref="M83:M102" si="33">M54/C28</f>
        <v>42.385794652623609</v>
      </c>
      <c r="N83" s="49">
        <f t="shared" ref="N83:N105" si="34">SUM(C83:M83)</f>
        <v>4254.1796544832359</v>
      </c>
      <c r="Z83" s="141"/>
      <c r="AA83" s="141"/>
    </row>
    <row r="84" spans="1:27" s="32" customFormat="1">
      <c r="A84" s="74">
        <v>32</v>
      </c>
      <c r="B84" s="45" t="s">
        <v>41</v>
      </c>
      <c r="C84" s="59">
        <f t="shared" si="23"/>
        <v>620.67658873887706</v>
      </c>
      <c r="D84" s="59">
        <f t="shared" si="24"/>
        <v>1960.1230790544957</v>
      </c>
      <c r="E84" s="59">
        <f t="shared" si="25"/>
        <v>519.3250257184601</v>
      </c>
      <c r="F84" s="59">
        <f t="shared" si="26"/>
        <v>828.95436950446015</v>
      </c>
      <c r="G84" s="59">
        <f t="shared" si="27"/>
        <v>237.05275529698429</v>
      </c>
      <c r="H84" s="59">
        <f t="shared" si="28"/>
        <v>10.601473229725659</v>
      </c>
      <c r="I84" s="59">
        <f t="shared" si="29"/>
        <v>1.2176657770766779</v>
      </c>
      <c r="J84" s="59">
        <f t="shared" si="30"/>
        <v>0</v>
      </c>
      <c r="K84" s="59">
        <f t="shared" si="31"/>
        <v>41.227521608921371</v>
      </c>
      <c r="L84" s="59">
        <f t="shared" si="32"/>
        <v>0</v>
      </c>
      <c r="M84" s="59">
        <f t="shared" si="33"/>
        <v>42.385794652623609</v>
      </c>
      <c r="N84" s="49">
        <f t="shared" si="34"/>
        <v>4261.5642735816236</v>
      </c>
      <c r="Z84" s="141"/>
      <c r="AA84" s="141"/>
    </row>
    <row r="85" spans="1:27" s="32" customFormat="1">
      <c r="A85" s="74">
        <v>33</v>
      </c>
      <c r="B85" s="45" t="s">
        <v>15</v>
      </c>
      <c r="C85" s="59">
        <f t="shared" si="23"/>
        <v>620.67658873887706</v>
      </c>
      <c r="D85" s="59">
        <f t="shared" si="24"/>
        <v>1782.3177226129305</v>
      </c>
      <c r="E85" s="59">
        <f t="shared" si="25"/>
        <v>509.51786524126572</v>
      </c>
      <c r="F85" s="59">
        <f t="shared" si="26"/>
        <v>686.2075100789516</v>
      </c>
      <c r="G85" s="59">
        <f t="shared" si="27"/>
        <v>166.01240749328619</v>
      </c>
      <c r="H85" s="59">
        <f t="shared" si="28"/>
        <v>59.446881730569821</v>
      </c>
      <c r="I85" s="59">
        <f t="shared" si="29"/>
        <v>11.107851180289005</v>
      </c>
      <c r="J85" s="59">
        <f t="shared" si="30"/>
        <v>0</v>
      </c>
      <c r="K85" s="59">
        <f t="shared" si="31"/>
        <v>79.127180558407375</v>
      </c>
      <c r="L85" s="59">
        <f t="shared" si="32"/>
        <v>0</v>
      </c>
      <c r="M85" s="59">
        <f t="shared" si="33"/>
        <v>42.385794652623609</v>
      </c>
      <c r="N85" s="49">
        <f t="shared" si="34"/>
        <v>3956.7998022872002</v>
      </c>
      <c r="Z85" s="141"/>
      <c r="AA85" s="141"/>
    </row>
    <row r="86" spans="1:27" s="32" customFormat="1">
      <c r="A86" s="74">
        <v>34</v>
      </c>
      <c r="B86" s="45" t="s">
        <v>16</v>
      </c>
      <c r="C86" s="59">
        <f t="shared" si="23"/>
        <v>620.67658873887706</v>
      </c>
      <c r="D86" s="59">
        <f t="shared" si="24"/>
        <v>2031.3949682001476</v>
      </c>
      <c r="E86" s="59">
        <f t="shared" si="25"/>
        <v>730.44641124173529</v>
      </c>
      <c r="F86" s="59">
        <f t="shared" si="26"/>
        <v>744.75992363878061</v>
      </c>
      <c r="G86" s="59">
        <f t="shared" si="27"/>
        <v>69.445734936960164</v>
      </c>
      <c r="H86" s="59">
        <f t="shared" si="28"/>
        <v>144.47304552592126</v>
      </c>
      <c r="I86" s="59">
        <f t="shared" si="29"/>
        <v>35.648616165292928</v>
      </c>
      <c r="J86" s="59">
        <f t="shared" si="30"/>
        <v>0</v>
      </c>
      <c r="K86" s="59">
        <f t="shared" si="31"/>
        <v>79.117892468964939</v>
      </c>
      <c r="L86" s="59">
        <f t="shared" si="32"/>
        <v>0</v>
      </c>
      <c r="M86" s="59">
        <f t="shared" si="33"/>
        <v>42.385794652623602</v>
      </c>
      <c r="N86" s="49">
        <f t="shared" si="34"/>
        <v>4498.3489755693035</v>
      </c>
      <c r="Z86" s="141"/>
      <c r="AA86" s="141"/>
    </row>
    <row r="87" spans="1:27" s="32" customFormat="1">
      <c r="A87" s="74">
        <v>35</v>
      </c>
      <c r="B87" s="45" t="s">
        <v>17</v>
      </c>
      <c r="C87" s="59">
        <f t="shared" si="23"/>
        <v>620.67658873887706</v>
      </c>
      <c r="D87" s="59">
        <f t="shared" si="24"/>
        <v>1923.2364282857588</v>
      </c>
      <c r="E87" s="59">
        <f t="shared" si="25"/>
        <v>584.29165169373584</v>
      </c>
      <c r="F87" s="59">
        <f t="shared" si="26"/>
        <v>757.04277808759866</v>
      </c>
      <c r="G87" s="59">
        <f t="shared" si="27"/>
        <v>72.713291947699901</v>
      </c>
      <c r="H87" s="59">
        <f t="shared" si="28"/>
        <v>0</v>
      </c>
      <c r="I87" s="59">
        <f t="shared" si="29"/>
        <v>10.574195138223775</v>
      </c>
      <c r="J87" s="59">
        <f t="shared" si="30"/>
        <v>0</v>
      </c>
      <c r="K87" s="59">
        <f t="shared" si="31"/>
        <v>43.513998472577519</v>
      </c>
      <c r="L87" s="59">
        <f t="shared" si="32"/>
        <v>0</v>
      </c>
      <c r="M87" s="59">
        <f t="shared" si="33"/>
        <v>42.385794652623609</v>
      </c>
      <c r="N87" s="49">
        <f t="shared" si="34"/>
        <v>4054.4347270170947</v>
      </c>
      <c r="Z87" s="141"/>
      <c r="AA87" s="141"/>
    </row>
    <row r="88" spans="1:27" s="32" customFormat="1">
      <c r="A88" s="45">
        <v>2</v>
      </c>
      <c r="B88" s="45" t="s">
        <v>18</v>
      </c>
      <c r="C88" s="59">
        <f t="shared" si="23"/>
        <v>620.67658873887706</v>
      </c>
      <c r="D88" s="59">
        <f t="shared" si="24"/>
        <v>2208.3546474412419</v>
      </c>
      <c r="E88" s="59">
        <f t="shared" si="25"/>
        <v>867.33651728572045</v>
      </c>
      <c r="F88" s="59">
        <f t="shared" si="26"/>
        <v>945.07005115598099</v>
      </c>
      <c r="G88" s="59">
        <f t="shared" si="27"/>
        <v>96.172011860994729</v>
      </c>
      <c r="H88" s="59">
        <f t="shared" si="28"/>
        <v>29.543008970295801</v>
      </c>
      <c r="I88" s="59">
        <f t="shared" si="29"/>
        <v>28.294721655959361</v>
      </c>
      <c r="J88" s="59">
        <f t="shared" si="30"/>
        <v>39.211343884246112</v>
      </c>
      <c r="K88" s="59">
        <f t="shared" si="31"/>
        <v>67.474854107978047</v>
      </c>
      <c r="L88" s="59">
        <f t="shared" si="32"/>
        <v>0</v>
      </c>
      <c r="M88" s="59">
        <f t="shared" si="33"/>
        <v>42.385794652623609</v>
      </c>
      <c r="N88" s="49">
        <f t="shared" si="34"/>
        <v>4944.5195397539173</v>
      </c>
      <c r="Z88" s="141"/>
      <c r="AA88" s="141"/>
    </row>
    <row r="89" spans="1:27" s="32" customFormat="1">
      <c r="A89" s="45">
        <v>4</v>
      </c>
      <c r="B89" s="45" t="s">
        <v>19</v>
      </c>
      <c r="C89" s="59">
        <f t="shared" si="23"/>
        <v>620.67658873887706</v>
      </c>
      <c r="D89" s="59">
        <f t="shared" si="24"/>
        <v>2193.6063360373446</v>
      </c>
      <c r="E89" s="59">
        <f t="shared" si="25"/>
        <v>930.42260585431472</v>
      </c>
      <c r="F89" s="59">
        <f t="shared" si="26"/>
        <v>1012.326206942697</v>
      </c>
      <c r="G89" s="59">
        <f t="shared" si="27"/>
        <v>51.861813408257269</v>
      </c>
      <c r="H89" s="59">
        <f t="shared" si="28"/>
        <v>0</v>
      </c>
      <c r="I89" s="59">
        <f t="shared" si="29"/>
        <v>48.561248392092899</v>
      </c>
      <c r="J89" s="59">
        <f t="shared" si="30"/>
        <v>0</v>
      </c>
      <c r="K89" s="59">
        <f t="shared" si="31"/>
        <v>65.927434619201605</v>
      </c>
      <c r="L89" s="59">
        <f t="shared" si="32"/>
        <v>0</v>
      </c>
      <c r="M89" s="59">
        <f t="shared" si="33"/>
        <v>0</v>
      </c>
      <c r="N89" s="49">
        <f t="shared" si="34"/>
        <v>4923.3822339927856</v>
      </c>
      <c r="Z89" s="141"/>
      <c r="AA89" s="141"/>
    </row>
    <row r="90" spans="1:27" s="32" customFormat="1">
      <c r="A90" s="45">
        <v>5</v>
      </c>
      <c r="B90" s="45" t="s">
        <v>20</v>
      </c>
      <c r="C90" s="59">
        <f t="shared" si="23"/>
        <v>620.67658873887706</v>
      </c>
      <c r="D90" s="59">
        <f t="shared" si="24"/>
        <v>2204.5137222692647</v>
      </c>
      <c r="E90" s="59">
        <f t="shared" si="25"/>
        <v>886.18748066389264</v>
      </c>
      <c r="F90" s="59">
        <f t="shared" si="26"/>
        <v>929.11234214597073</v>
      </c>
      <c r="G90" s="59">
        <f t="shared" si="27"/>
        <v>57.173644243921018</v>
      </c>
      <c r="H90" s="59">
        <f t="shared" si="28"/>
        <v>0</v>
      </c>
      <c r="I90" s="59">
        <f t="shared" si="29"/>
        <v>40.238465799663466</v>
      </c>
      <c r="J90" s="59">
        <f t="shared" si="30"/>
        <v>0</v>
      </c>
      <c r="K90" s="59">
        <f t="shared" si="31"/>
        <v>79.933813593098179</v>
      </c>
      <c r="L90" s="59">
        <f t="shared" si="32"/>
        <v>0</v>
      </c>
      <c r="M90" s="59">
        <f t="shared" si="33"/>
        <v>0</v>
      </c>
      <c r="N90" s="49">
        <f t="shared" si="34"/>
        <v>4817.8360574546887</v>
      </c>
      <c r="Z90" s="141"/>
      <c r="AA90" s="141"/>
    </row>
    <row r="91" spans="1:27" s="32" customFormat="1">
      <c r="A91" s="45">
        <v>6</v>
      </c>
      <c r="B91" s="45" t="s">
        <v>21</v>
      </c>
      <c r="C91" s="59">
        <f t="shared" si="23"/>
        <v>620.67658873887706</v>
      </c>
      <c r="D91" s="59">
        <f t="shared" si="24"/>
        <v>2136.3865100430348</v>
      </c>
      <c r="E91" s="59">
        <f t="shared" si="25"/>
        <v>783.70748399202989</v>
      </c>
      <c r="F91" s="59">
        <f t="shared" si="26"/>
        <v>880.09027196643649</v>
      </c>
      <c r="G91" s="59">
        <f t="shared" si="27"/>
        <v>64.491824547359073</v>
      </c>
      <c r="H91" s="59">
        <f t="shared" si="28"/>
        <v>0</v>
      </c>
      <c r="I91" s="59">
        <f t="shared" si="29"/>
        <v>31.855592175793841</v>
      </c>
      <c r="J91" s="59">
        <f t="shared" si="30"/>
        <v>0</v>
      </c>
      <c r="K91" s="59">
        <f t="shared" si="31"/>
        <v>67.618429237635354</v>
      </c>
      <c r="L91" s="59">
        <f t="shared" si="32"/>
        <v>0</v>
      </c>
      <c r="M91" s="59">
        <f t="shared" si="33"/>
        <v>42.385794652623609</v>
      </c>
      <c r="N91" s="49">
        <f t="shared" si="34"/>
        <v>4627.2124953537896</v>
      </c>
      <c r="Z91" s="141"/>
      <c r="AA91" s="141"/>
    </row>
    <row r="92" spans="1:27" s="32" customFormat="1">
      <c r="A92" s="45">
        <v>7</v>
      </c>
      <c r="B92" s="45" t="s">
        <v>22</v>
      </c>
      <c r="C92" s="59">
        <f t="shared" si="23"/>
        <v>620.67658873887706</v>
      </c>
      <c r="D92" s="59">
        <f t="shared" si="24"/>
        <v>2246.9594103594686</v>
      </c>
      <c r="E92" s="59">
        <f t="shared" si="25"/>
        <v>912.57711072263328</v>
      </c>
      <c r="F92" s="59">
        <f t="shared" si="26"/>
        <v>978.95378562282474</v>
      </c>
      <c r="G92" s="59">
        <f t="shared" si="27"/>
        <v>68.123058291459273</v>
      </c>
      <c r="H92" s="59">
        <f t="shared" si="28"/>
        <v>0</v>
      </c>
      <c r="I92" s="59">
        <f t="shared" si="29"/>
        <v>36.6275041094258</v>
      </c>
      <c r="J92" s="59">
        <f t="shared" si="30"/>
        <v>0</v>
      </c>
      <c r="K92" s="59">
        <f t="shared" si="31"/>
        <v>90.322880231667227</v>
      </c>
      <c r="L92" s="59">
        <f t="shared" si="32"/>
        <v>0</v>
      </c>
      <c r="M92" s="59">
        <f t="shared" si="33"/>
        <v>0</v>
      </c>
      <c r="N92" s="49">
        <f t="shared" si="34"/>
        <v>4954.2403380763562</v>
      </c>
      <c r="Z92" s="141"/>
      <c r="AA92" s="141"/>
    </row>
    <row r="93" spans="1:27" s="32" customFormat="1">
      <c r="A93" s="45">
        <v>8</v>
      </c>
      <c r="B93" s="45" t="s">
        <v>23</v>
      </c>
      <c r="C93" s="59">
        <f t="shared" si="23"/>
        <v>620.67658873887706</v>
      </c>
      <c r="D93" s="59">
        <f t="shared" si="24"/>
        <v>2372.6364998276053</v>
      </c>
      <c r="E93" s="59">
        <f t="shared" si="25"/>
        <v>1120.7368662981041</v>
      </c>
      <c r="F93" s="59">
        <f t="shared" si="26"/>
        <v>1061.586286155718</v>
      </c>
      <c r="G93" s="59">
        <f t="shared" si="27"/>
        <v>68.58250842528264</v>
      </c>
      <c r="H93" s="59">
        <f t="shared" si="28"/>
        <v>3.9180072855599866</v>
      </c>
      <c r="I93" s="59">
        <f t="shared" si="29"/>
        <v>37.976305682163513</v>
      </c>
      <c r="J93" s="59">
        <f t="shared" si="30"/>
        <v>0</v>
      </c>
      <c r="K93" s="59">
        <f t="shared" si="31"/>
        <v>59.097149898464792</v>
      </c>
      <c r="L93" s="59">
        <f t="shared" si="32"/>
        <v>0</v>
      </c>
      <c r="M93" s="59">
        <f t="shared" si="33"/>
        <v>0</v>
      </c>
      <c r="N93" s="49">
        <f t="shared" si="34"/>
        <v>5345.2102123117756</v>
      </c>
      <c r="Z93" s="141"/>
      <c r="AA93" s="141"/>
    </row>
    <row r="94" spans="1:27" s="32" customFormat="1">
      <c r="A94" s="45">
        <v>9</v>
      </c>
      <c r="B94" s="45" t="s">
        <v>24</v>
      </c>
      <c r="C94" s="59">
        <f t="shared" si="23"/>
        <v>620.67658873887706</v>
      </c>
      <c r="D94" s="59">
        <f t="shared" si="24"/>
        <v>2114.1380989017525</v>
      </c>
      <c r="E94" s="59">
        <f t="shared" si="25"/>
        <v>929.75827834928168</v>
      </c>
      <c r="F94" s="59">
        <f t="shared" si="26"/>
        <v>885.98770009034047</v>
      </c>
      <c r="G94" s="59">
        <f t="shared" si="27"/>
        <v>82.207145704537112</v>
      </c>
      <c r="H94" s="59">
        <f t="shared" si="28"/>
        <v>0</v>
      </c>
      <c r="I94" s="59">
        <f t="shared" si="29"/>
        <v>55.851260774955733</v>
      </c>
      <c r="J94" s="59">
        <f t="shared" si="30"/>
        <v>0</v>
      </c>
      <c r="K94" s="59">
        <f t="shared" si="31"/>
        <v>71.852604548920368</v>
      </c>
      <c r="L94" s="59">
        <f t="shared" si="32"/>
        <v>0</v>
      </c>
      <c r="M94" s="59">
        <f t="shared" si="33"/>
        <v>0</v>
      </c>
      <c r="N94" s="49">
        <f t="shared" si="34"/>
        <v>4760.4716771086642</v>
      </c>
      <c r="Z94" s="141"/>
      <c r="AA94" s="141"/>
    </row>
    <row r="95" spans="1:27" s="32" customFormat="1">
      <c r="A95" s="45">
        <v>10</v>
      </c>
      <c r="B95" s="45" t="s">
        <v>25</v>
      </c>
      <c r="C95" s="59">
        <f t="shared" si="23"/>
        <v>620.67658873887706</v>
      </c>
      <c r="D95" s="59">
        <f t="shared" si="24"/>
        <v>2435.8371577276193</v>
      </c>
      <c r="E95" s="59">
        <f t="shared" si="25"/>
        <v>1181.9172500812449</v>
      </c>
      <c r="F95" s="59">
        <f t="shared" si="26"/>
        <v>1107.8991382481711</v>
      </c>
      <c r="G95" s="59">
        <f t="shared" si="27"/>
        <v>50.823922677811908</v>
      </c>
      <c r="H95" s="59">
        <f t="shared" si="28"/>
        <v>0</v>
      </c>
      <c r="I95" s="59">
        <f t="shared" si="29"/>
        <v>128.24954649513435</v>
      </c>
      <c r="J95" s="59">
        <f t="shared" si="30"/>
        <v>38.536480608889917</v>
      </c>
      <c r="K95" s="59">
        <f t="shared" si="31"/>
        <v>94.809153965022588</v>
      </c>
      <c r="L95" s="59">
        <f t="shared" si="32"/>
        <v>0</v>
      </c>
      <c r="M95" s="59">
        <f t="shared" si="33"/>
        <v>0</v>
      </c>
      <c r="N95" s="49">
        <f t="shared" si="34"/>
        <v>5658.7492385427713</v>
      </c>
      <c r="Z95" s="141"/>
      <c r="AA95" s="141"/>
    </row>
    <row r="96" spans="1:27" s="32" customFormat="1">
      <c r="A96" s="45">
        <v>11</v>
      </c>
      <c r="B96" s="45" t="s">
        <v>26</v>
      </c>
      <c r="C96" s="59">
        <f t="shared" si="23"/>
        <v>620.67658873887706</v>
      </c>
      <c r="D96" s="59">
        <f t="shared" si="24"/>
        <v>2299.1349140723878</v>
      </c>
      <c r="E96" s="59">
        <f t="shared" si="25"/>
        <v>957.47373712077001</v>
      </c>
      <c r="F96" s="59">
        <f t="shared" si="26"/>
        <v>1090.8010489774551</v>
      </c>
      <c r="G96" s="59">
        <f t="shared" si="27"/>
        <v>45.810036556471054</v>
      </c>
      <c r="H96" s="59">
        <f t="shared" si="28"/>
        <v>0</v>
      </c>
      <c r="I96" s="59">
        <f t="shared" si="29"/>
        <v>91.421353001729329</v>
      </c>
      <c r="J96" s="59">
        <f t="shared" si="30"/>
        <v>0</v>
      </c>
      <c r="K96" s="59">
        <f t="shared" si="31"/>
        <v>94.242887379075981</v>
      </c>
      <c r="L96" s="59">
        <f t="shared" si="32"/>
        <v>0</v>
      </c>
      <c r="M96" s="59">
        <f t="shared" si="33"/>
        <v>42.385794652623616</v>
      </c>
      <c r="N96" s="49">
        <f t="shared" si="34"/>
        <v>5241.9463604993898</v>
      </c>
      <c r="Z96" s="141"/>
      <c r="AA96" s="141"/>
    </row>
    <row r="97" spans="1:27" s="32" customFormat="1">
      <c r="A97" s="45">
        <v>12</v>
      </c>
      <c r="B97" s="45" t="s">
        <v>27</v>
      </c>
      <c r="C97" s="59">
        <f t="shared" si="23"/>
        <v>620.67658873887706</v>
      </c>
      <c r="D97" s="59">
        <f t="shared" si="24"/>
        <v>2513.5528393686718</v>
      </c>
      <c r="E97" s="59">
        <f t="shared" si="25"/>
        <v>1059.4424508172169</v>
      </c>
      <c r="F97" s="59">
        <f t="shared" si="26"/>
        <v>1173.5575261574095</v>
      </c>
      <c r="G97" s="59">
        <f t="shared" si="27"/>
        <v>57.357044197276309</v>
      </c>
      <c r="H97" s="59">
        <f t="shared" si="28"/>
        <v>0</v>
      </c>
      <c r="I97" s="59">
        <f t="shared" si="29"/>
        <v>152.0483242533611</v>
      </c>
      <c r="J97" s="59">
        <f t="shared" si="30"/>
        <v>0</v>
      </c>
      <c r="K97" s="59">
        <f t="shared" si="31"/>
        <v>63.049792822319468</v>
      </c>
      <c r="L97" s="59">
        <f t="shared" si="32"/>
        <v>0</v>
      </c>
      <c r="M97" s="59">
        <f t="shared" si="33"/>
        <v>0</v>
      </c>
      <c r="N97" s="49">
        <f t="shared" si="34"/>
        <v>5639.6845663551321</v>
      </c>
      <c r="Z97" s="141"/>
      <c r="AA97" s="141"/>
    </row>
    <row r="98" spans="1:27" s="32" customFormat="1">
      <c r="A98" s="45">
        <v>13</v>
      </c>
      <c r="B98" s="45" t="s">
        <v>28</v>
      </c>
      <c r="C98" s="59">
        <f t="shared" si="23"/>
        <v>620.67658873887706</v>
      </c>
      <c r="D98" s="59">
        <f t="shared" si="24"/>
        <v>2045.2145379790024</v>
      </c>
      <c r="E98" s="59">
        <f t="shared" si="25"/>
        <v>809.90154477791918</v>
      </c>
      <c r="F98" s="59">
        <f t="shared" si="26"/>
        <v>941.20085948363862</v>
      </c>
      <c r="G98" s="59">
        <f t="shared" si="27"/>
        <v>47.740709431729115</v>
      </c>
      <c r="H98" s="59">
        <f t="shared" si="28"/>
        <v>0</v>
      </c>
      <c r="I98" s="59">
        <f t="shared" si="29"/>
        <v>76.748230967506331</v>
      </c>
      <c r="J98" s="59">
        <f t="shared" si="30"/>
        <v>0</v>
      </c>
      <c r="K98" s="59">
        <f t="shared" si="31"/>
        <v>67.730446487978384</v>
      </c>
      <c r="L98" s="59">
        <f t="shared" si="32"/>
        <v>0</v>
      </c>
      <c r="M98" s="59">
        <f t="shared" si="33"/>
        <v>0</v>
      </c>
      <c r="N98" s="49">
        <f t="shared" si="34"/>
        <v>4609.212917866651</v>
      </c>
      <c r="Z98" s="141"/>
      <c r="AA98" s="141"/>
    </row>
    <row r="99" spans="1:27" s="32" customFormat="1">
      <c r="A99" s="45">
        <v>14</v>
      </c>
      <c r="B99" s="45" t="s">
        <v>29</v>
      </c>
      <c r="C99" s="59">
        <f t="shared" si="23"/>
        <v>620.67658873887706</v>
      </c>
      <c r="D99" s="59">
        <f t="shared" si="24"/>
        <v>2305.0631960375704</v>
      </c>
      <c r="E99" s="59">
        <f t="shared" si="25"/>
        <v>1019.9043774573969</v>
      </c>
      <c r="F99" s="59">
        <f t="shared" si="26"/>
        <v>1009.6659342189423</v>
      </c>
      <c r="G99" s="59">
        <f t="shared" si="27"/>
        <v>37.758822097578602</v>
      </c>
      <c r="H99" s="59">
        <f t="shared" si="28"/>
        <v>0</v>
      </c>
      <c r="I99" s="59">
        <f t="shared" si="29"/>
        <v>95.271919085574638</v>
      </c>
      <c r="J99" s="59">
        <f t="shared" si="30"/>
        <v>0</v>
      </c>
      <c r="K99" s="59">
        <f t="shared" si="31"/>
        <v>122.85321745122197</v>
      </c>
      <c r="L99" s="59">
        <f t="shared" si="32"/>
        <v>0</v>
      </c>
      <c r="M99" s="59">
        <f t="shared" si="33"/>
        <v>0</v>
      </c>
      <c r="N99" s="49">
        <f t="shared" si="34"/>
        <v>5211.1940550871623</v>
      </c>
      <c r="Z99" s="141"/>
      <c r="AA99" s="141"/>
    </row>
    <row r="100" spans="1:27" s="32" customFormat="1">
      <c r="A100" s="45">
        <v>15</v>
      </c>
      <c r="B100" s="45" t="s">
        <v>30</v>
      </c>
      <c r="C100" s="59">
        <f t="shared" si="23"/>
        <v>620.67658873887706</v>
      </c>
      <c r="D100" s="59">
        <f t="shared" si="24"/>
        <v>1985.4723988350202</v>
      </c>
      <c r="E100" s="59">
        <f t="shared" si="25"/>
        <v>756.68108824762498</v>
      </c>
      <c r="F100" s="59">
        <f t="shared" si="26"/>
        <v>766.38559634656212</v>
      </c>
      <c r="G100" s="59">
        <f t="shared" si="27"/>
        <v>93.141525304159103</v>
      </c>
      <c r="H100" s="59">
        <f t="shared" si="28"/>
        <v>262.22093200367743</v>
      </c>
      <c r="I100" s="59">
        <f t="shared" si="29"/>
        <v>54.311088050774131</v>
      </c>
      <c r="J100" s="59">
        <f t="shared" si="30"/>
        <v>26.666294644645752</v>
      </c>
      <c r="K100" s="59">
        <f t="shared" si="31"/>
        <v>72.231792741751065</v>
      </c>
      <c r="L100" s="59">
        <f t="shared" si="32"/>
        <v>0</v>
      </c>
      <c r="M100" s="59">
        <f t="shared" si="33"/>
        <v>0</v>
      </c>
      <c r="N100" s="49">
        <f t="shared" si="34"/>
        <v>4637.7873049130903</v>
      </c>
      <c r="Z100" s="141"/>
      <c r="AA100" s="141"/>
    </row>
    <row r="101" spans="1:27" s="32" customFormat="1">
      <c r="A101" s="45">
        <v>16</v>
      </c>
      <c r="B101" s="45" t="s">
        <v>31</v>
      </c>
      <c r="C101" s="59">
        <f t="shared" si="23"/>
        <v>620.67658873887706</v>
      </c>
      <c r="D101" s="59">
        <f t="shared" si="24"/>
        <v>2272.1108244129532</v>
      </c>
      <c r="E101" s="59">
        <f t="shared" si="25"/>
        <v>938.26794310793832</v>
      </c>
      <c r="F101" s="59">
        <f t="shared" si="26"/>
        <v>1093.3221981767208</v>
      </c>
      <c r="G101" s="59">
        <f t="shared" si="27"/>
        <v>42.272880580752037</v>
      </c>
      <c r="H101" s="59">
        <f t="shared" si="28"/>
        <v>46.216339930218652</v>
      </c>
      <c r="I101" s="59">
        <f t="shared" si="29"/>
        <v>97.214825995484631</v>
      </c>
      <c r="J101" s="59">
        <f t="shared" si="30"/>
        <v>0</v>
      </c>
      <c r="K101" s="59">
        <f t="shared" si="31"/>
        <v>52.410746997395655</v>
      </c>
      <c r="L101" s="59">
        <f t="shared" si="32"/>
        <v>0</v>
      </c>
      <c r="M101" s="59">
        <f t="shared" si="33"/>
        <v>0</v>
      </c>
      <c r="N101" s="49">
        <f t="shared" si="34"/>
        <v>5162.4923479403406</v>
      </c>
      <c r="Z101" s="141"/>
      <c r="AA101" s="141"/>
    </row>
    <row r="102" spans="1:27" s="32" customFormat="1">
      <c r="A102" s="45">
        <v>17</v>
      </c>
      <c r="B102" s="45" t="s">
        <v>32</v>
      </c>
      <c r="C102" s="59">
        <f t="shared" si="23"/>
        <v>620.67658873887706</v>
      </c>
      <c r="D102" s="59">
        <f t="shared" si="24"/>
        <v>2053.6771548109855</v>
      </c>
      <c r="E102" s="59">
        <f t="shared" si="25"/>
        <v>778.11685776946592</v>
      </c>
      <c r="F102" s="59">
        <f t="shared" si="26"/>
        <v>1109.1260441743789</v>
      </c>
      <c r="G102" s="59">
        <f t="shared" si="27"/>
        <v>40.279751708641619</v>
      </c>
      <c r="H102" s="59">
        <f t="shared" si="28"/>
        <v>0</v>
      </c>
      <c r="I102" s="59">
        <f t="shared" si="29"/>
        <v>115.46002575931769</v>
      </c>
      <c r="J102" s="59">
        <f t="shared" si="30"/>
        <v>1.9340346176662133</v>
      </c>
      <c r="K102" s="59">
        <f t="shared" si="31"/>
        <v>65.075999507658267</v>
      </c>
      <c r="L102" s="59">
        <f t="shared" si="32"/>
        <v>0</v>
      </c>
      <c r="M102" s="59">
        <f t="shared" si="33"/>
        <v>42.385794652623609</v>
      </c>
      <c r="N102" s="49">
        <f t="shared" si="34"/>
        <v>4826.7322517396142</v>
      </c>
      <c r="Z102" s="141"/>
      <c r="AA102" s="141"/>
    </row>
    <row r="103" spans="1:27" s="32" customFormat="1">
      <c r="A103" s="45">
        <v>18</v>
      </c>
      <c r="B103" s="45" t="s">
        <v>33</v>
      </c>
      <c r="C103" s="59">
        <f t="shared" ref="C103:C105" si="35">C74/C48</f>
        <v>620.67658873887706</v>
      </c>
      <c r="D103" s="59">
        <f t="shared" ref="D103:D105" si="36">D74/C48</f>
        <v>2397.2973206231482</v>
      </c>
      <c r="E103" s="59">
        <f t="shared" ref="E103:E105" si="37">E74/C48</f>
        <v>1130.7077038434534</v>
      </c>
      <c r="F103" s="59">
        <f t="shared" ref="F103:F105" si="38">F74/C48</f>
        <v>1156.8568107056171</v>
      </c>
      <c r="G103" s="59">
        <f t="shared" ref="G103:G105" si="39">G74/C48</f>
        <v>51.083792412939609</v>
      </c>
      <c r="H103" s="59">
        <f t="shared" ref="H103:H105" si="40">H74/C48</f>
        <v>0</v>
      </c>
      <c r="I103" s="59">
        <f t="shared" ref="I103:I105" si="41">I74/C48</f>
        <v>380.35974092143698</v>
      </c>
      <c r="J103" s="59">
        <f t="shared" ref="J103:J105" si="42">J74/C48</f>
        <v>0</v>
      </c>
      <c r="K103" s="59">
        <f t="shared" ref="K103:K105" si="43">K74/C48</f>
        <v>84.398573897242031</v>
      </c>
      <c r="L103" s="59">
        <f t="shared" ref="L103:L105" si="44">L74/C48</f>
        <v>0</v>
      </c>
      <c r="M103" s="59">
        <f t="shared" ref="M103:M105" si="45">M74/C48</f>
        <v>0</v>
      </c>
      <c r="N103" s="49">
        <f t="shared" si="34"/>
        <v>5821.380531142715</v>
      </c>
      <c r="Z103" s="141"/>
      <c r="AA103" s="141"/>
    </row>
    <row r="104" spans="1:27" s="32" customFormat="1">
      <c r="A104" s="45">
        <v>19</v>
      </c>
      <c r="B104" s="45" t="s">
        <v>34</v>
      </c>
      <c r="C104" s="59">
        <f t="shared" si="35"/>
        <v>620.67658873887706</v>
      </c>
      <c r="D104" s="59">
        <f t="shared" si="36"/>
        <v>2355.3207761362205</v>
      </c>
      <c r="E104" s="59">
        <f t="shared" si="37"/>
        <v>991.81025162118476</v>
      </c>
      <c r="F104" s="59">
        <f t="shared" si="38"/>
        <v>1234.3316402953328</v>
      </c>
      <c r="G104" s="59">
        <f t="shared" si="39"/>
        <v>41.266312755189055</v>
      </c>
      <c r="H104" s="59">
        <f t="shared" si="40"/>
        <v>0</v>
      </c>
      <c r="I104" s="59">
        <f t="shared" si="41"/>
        <v>690.07272430447335</v>
      </c>
      <c r="J104" s="59">
        <f t="shared" si="42"/>
        <v>0</v>
      </c>
      <c r="K104" s="59">
        <f t="shared" si="43"/>
        <v>83.32507216416289</v>
      </c>
      <c r="L104" s="59">
        <f t="shared" si="44"/>
        <v>20.103108834998071</v>
      </c>
      <c r="M104" s="59">
        <f t="shared" si="45"/>
        <v>0</v>
      </c>
      <c r="N104" s="49">
        <f t="shared" si="34"/>
        <v>6036.9064748504379</v>
      </c>
    </row>
    <row r="105" spans="1:27" s="110" customFormat="1">
      <c r="A105" s="47"/>
      <c r="B105" s="48" t="s">
        <v>35</v>
      </c>
      <c r="C105" s="49">
        <f t="shared" si="35"/>
        <v>620.67658873887694</v>
      </c>
      <c r="D105" s="49">
        <f t="shared" si="36"/>
        <v>2107.0376892805216</v>
      </c>
      <c r="E105" s="49">
        <f t="shared" si="37"/>
        <v>797.73650940313826</v>
      </c>
      <c r="F105" s="49">
        <f t="shared" si="38"/>
        <v>921.95960140546083</v>
      </c>
      <c r="G105" s="49">
        <f t="shared" si="39"/>
        <v>94.374362643576447</v>
      </c>
      <c r="H105" s="49">
        <f t="shared" si="40"/>
        <v>23.569292421284548</v>
      </c>
      <c r="I105" s="49">
        <f t="shared" si="41"/>
        <v>70.756473743072789</v>
      </c>
      <c r="J105" s="49">
        <f t="shared" si="42"/>
        <v>5.3456127141057719</v>
      </c>
      <c r="K105" s="49">
        <f t="shared" si="43"/>
        <v>70.950859659949344</v>
      </c>
      <c r="L105" s="49">
        <f t="shared" si="44"/>
        <v>0.63175422984886409</v>
      </c>
      <c r="M105" s="49">
        <f t="shared" si="45"/>
        <v>26.387888215994867</v>
      </c>
      <c r="N105" s="49">
        <f t="shared" si="34"/>
        <v>4739.4266324558303</v>
      </c>
    </row>
    <row r="106" spans="1:27" s="32" customFormat="1">
      <c r="A106" s="45"/>
      <c r="B106" s="45" t="s">
        <v>174</v>
      </c>
      <c r="C106" s="75">
        <f t="shared" ref="C106:N106" si="46">C105/$N$105</f>
        <v>0.13096026943184491</v>
      </c>
      <c r="D106" s="75">
        <f t="shared" si="46"/>
        <v>0.44457649683854633</v>
      </c>
      <c r="E106" s="75">
        <f t="shared" si="46"/>
        <v>0.16831920214571924</v>
      </c>
      <c r="F106" s="75">
        <f t="shared" si="46"/>
        <v>0.1945297760475572</v>
      </c>
      <c r="G106" s="75">
        <f t="shared" si="46"/>
        <v>1.9912611790906542E-2</v>
      </c>
      <c r="H106" s="75">
        <f t="shared" si="46"/>
        <v>4.9730261166785143E-3</v>
      </c>
      <c r="I106" s="75">
        <f t="shared" si="46"/>
        <v>1.4929332012131789E-2</v>
      </c>
      <c r="J106" s="75">
        <f t="shared" si="46"/>
        <v>1.1279028305868793E-3</v>
      </c>
      <c r="K106" s="75">
        <f t="shared" si="46"/>
        <v>1.4970346660516762E-2</v>
      </c>
      <c r="L106" s="75">
        <f t="shared" si="46"/>
        <v>1.3329760725117667E-4</v>
      </c>
      <c r="M106" s="75">
        <f t="shared" si="46"/>
        <v>5.5677385182606879E-3</v>
      </c>
      <c r="N106" s="75">
        <f t="shared" si="46"/>
        <v>1</v>
      </c>
    </row>
    <row r="107" spans="1:27" s="32" customFormat="1">
      <c r="A107" s="27"/>
      <c r="B107" s="27"/>
      <c r="C107" s="27"/>
      <c r="D107" s="27"/>
      <c r="E107" s="27"/>
      <c r="F107" s="27"/>
      <c r="G107" s="27"/>
      <c r="H107" s="27"/>
      <c r="I107" s="27"/>
      <c r="J107" s="27"/>
      <c r="K107" s="27"/>
      <c r="L107" s="27"/>
      <c r="M107" s="27"/>
      <c r="N107" s="27"/>
    </row>
  </sheetData>
  <mergeCells count="1">
    <mergeCell ref="A3:C3"/>
  </mergeCells>
  <pageMargins left="0.7" right="0.7" top="0.75" bottom="0.75" header="0.3" footer="0.3"/>
  <pageSetup paperSize="9" orientation="portrait" r:id="rId1"/>
  <ignoredErrors>
    <ignoredError sqref="C23" formula="1"/>
  </ignoredErrors>
  <tableParts count="5">
    <tablePart r:id="rId2"/>
    <tablePart r:id="rId3"/>
    <tablePart r:id="rId4"/>
    <tablePart r:id="rId5"/>
    <tablePart r:id="rId6"/>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sheetPr>
  <dimension ref="A1:N100"/>
  <sheetViews>
    <sheetView zoomScale="85" zoomScaleNormal="85" workbookViewId="0"/>
  </sheetViews>
  <sheetFormatPr defaultRowHeight="14"/>
  <cols>
    <col min="1" max="1" width="44.75" style="1" customWidth="1"/>
    <col min="2" max="2" width="25.33203125" style="1" customWidth="1"/>
    <col min="3" max="3" width="25.5" style="1" customWidth="1"/>
    <col min="4" max="4" width="21.75" style="1" customWidth="1"/>
    <col min="5" max="5" width="17.83203125" style="1" customWidth="1"/>
    <col min="6" max="6" width="18.33203125" style="1" customWidth="1"/>
    <col min="7" max="7" width="21.25" style="1" customWidth="1"/>
    <col min="8" max="8" width="14" customWidth="1"/>
    <col min="9" max="9" width="13.08203125" bestFit="1" customWidth="1"/>
    <col min="10" max="10" width="13.08203125" customWidth="1"/>
    <col min="12" max="12" width="14.75" bestFit="1" customWidth="1"/>
    <col min="13" max="13" width="11.83203125" bestFit="1" customWidth="1"/>
    <col min="14" max="14" width="14.75" bestFit="1" customWidth="1"/>
  </cols>
  <sheetData>
    <row r="1" spans="1:7" ht="20">
      <c r="A1" s="185" t="s">
        <v>175</v>
      </c>
    </row>
    <row r="2" spans="1:7" ht="15.5">
      <c r="A2" s="1" t="str">
        <f>INFO!A2</f>
        <v>VM/HVO 22.9.2025</v>
      </c>
      <c r="B2" s="31"/>
      <c r="C2" s="31"/>
      <c r="D2" s="31"/>
      <c r="E2" s="31"/>
      <c r="F2" s="31"/>
      <c r="G2" s="31"/>
    </row>
    <row r="3" spans="1:7" ht="63" customHeight="1">
      <c r="A3" s="539" t="s">
        <v>440</v>
      </c>
      <c r="B3" s="539"/>
      <c r="C3" s="539"/>
      <c r="D3" s="539"/>
      <c r="E3" s="31"/>
      <c r="F3" s="31"/>
      <c r="G3" s="92"/>
    </row>
    <row r="4" spans="1:7" ht="15.5">
      <c r="A4" s="97"/>
      <c r="B4" s="97"/>
      <c r="C4" s="95"/>
      <c r="D4" s="27"/>
      <c r="E4" s="31"/>
      <c r="F4" s="31"/>
      <c r="G4" s="92"/>
    </row>
    <row r="5" spans="1:7" ht="16.5">
      <c r="A5" s="490" t="s">
        <v>175</v>
      </c>
      <c r="B5" s="40"/>
      <c r="C5" s="28"/>
      <c r="D5" s="27"/>
      <c r="E5" s="31"/>
      <c r="F5" s="31"/>
      <c r="G5" s="26"/>
    </row>
    <row r="6" spans="1:7" ht="15.5">
      <c r="A6" s="170" t="s">
        <v>418</v>
      </c>
      <c r="B6" s="171" t="s">
        <v>0</v>
      </c>
      <c r="C6" s="491"/>
      <c r="D6" s="27"/>
      <c r="E6" s="31"/>
      <c r="F6" s="31"/>
      <c r="G6" s="142"/>
    </row>
    <row r="7" spans="1:7" ht="15.5">
      <c r="A7" s="144" t="s">
        <v>36</v>
      </c>
      <c r="B7" s="239">
        <f>Määräytymistekijät!C30</f>
        <v>5605317</v>
      </c>
      <c r="C7" s="492"/>
      <c r="D7" s="27"/>
      <c r="E7" s="31"/>
      <c r="F7" s="31"/>
      <c r="G7" s="131"/>
    </row>
    <row r="8" spans="1:7" ht="15.5">
      <c r="A8" s="144" t="s">
        <v>419</v>
      </c>
      <c r="B8" s="145">
        <f>'Rahoituksen taso 2026'!B9+'Rahoituksen taso 2026'!B14+'Rahoituksen taso 2026'!B21</f>
        <v>597880599.76671648</v>
      </c>
      <c r="C8" s="492"/>
      <c r="D8" s="27"/>
      <c r="E8" s="31"/>
      <c r="F8" s="31"/>
      <c r="G8" s="131"/>
    </row>
    <row r="9" spans="1:7" ht="15.5">
      <c r="A9" s="148" t="s">
        <v>251</v>
      </c>
      <c r="B9" s="493" t="s">
        <v>0</v>
      </c>
      <c r="C9" s="492"/>
      <c r="D9" s="27"/>
      <c r="E9" s="31"/>
      <c r="F9" s="31"/>
      <c r="G9" s="131"/>
    </row>
    <row r="10" spans="1:7" ht="15.5">
      <c r="A10" s="398" t="s">
        <v>158</v>
      </c>
      <c r="B10" s="398">
        <f>'Rahoituksen taso 2026'!B17</f>
        <v>-110030.8988056215</v>
      </c>
      <c r="C10" s="489"/>
      <c r="D10" s="27"/>
      <c r="E10" s="31"/>
      <c r="F10" s="31"/>
      <c r="G10" s="131"/>
    </row>
    <row r="11" spans="1:7" ht="15.5">
      <c r="A11" s="399" t="s">
        <v>4</v>
      </c>
      <c r="B11" s="399">
        <f>B10</f>
        <v>-110030.8988056215</v>
      </c>
      <c r="C11" s="489"/>
      <c r="D11" s="27"/>
      <c r="E11" s="31"/>
      <c r="F11" s="31"/>
      <c r="G11" s="131"/>
    </row>
    <row r="12" spans="1:7" ht="15.5">
      <c r="A12" s="495" t="s">
        <v>420</v>
      </c>
      <c r="B12" s="494">
        <f>B8+B11</f>
        <v>597770568.86791086</v>
      </c>
      <c r="C12" s="489"/>
      <c r="D12" s="27"/>
      <c r="E12" s="31"/>
      <c r="F12" s="31"/>
      <c r="G12" s="131"/>
    </row>
    <row r="13" spans="1:7" ht="36" customHeight="1">
      <c r="A13"/>
      <c r="B13"/>
      <c r="C13" s="27"/>
      <c r="D13" s="27"/>
      <c r="E13" s="31"/>
      <c r="F13" s="31"/>
      <c r="G13" s="142"/>
    </row>
    <row r="14" spans="1:7" ht="17" thickBot="1">
      <c r="A14" s="176" t="s">
        <v>167</v>
      </c>
      <c r="B14" s="175"/>
      <c r="C14" s="175"/>
      <c r="D14" s="175"/>
      <c r="E14" s="175"/>
      <c r="F14" s="76"/>
      <c r="G14" s="131"/>
    </row>
    <row r="15" spans="1:7" ht="16" thickTop="1">
      <c r="A15" s="37" t="s">
        <v>176</v>
      </c>
      <c r="B15" s="197" t="s">
        <v>158</v>
      </c>
      <c r="C15" s="197" t="s">
        <v>12</v>
      </c>
      <c r="D15" s="197" t="s">
        <v>177</v>
      </c>
      <c r="E15" s="198" t="s">
        <v>4</v>
      </c>
      <c r="F15" s="76"/>
      <c r="G15" s="92"/>
    </row>
    <row r="16" spans="1:7" ht="15.5">
      <c r="A16" s="404" t="s">
        <v>386</v>
      </c>
      <c r="B16" s="395">
        <v>0.6500453309156845</v>
      </c>
      <c r="C16" s="396">
        <v>4.9864007252946513E-2</v>
      </c>
      <c r="D16" s="396">
        <v>0.30009066183136901</v>
      </c>
      <c r="E16" s="396">
        <f>SUM(B16:D16)</f>
        <v>1</v>
      </c>
      <c r="F16" s="103"/>
      <c r="G16" s="92"/>
    </row>
    <row r="17" spans="1:7" ht="31">
      <c r="A17" s="201" t="s">
        <v>421</v>
      </c>
      <c r="B17" s="77">
        <f>B16*$B$8+B10</f>
        <v>388539461.42461753</v>
      </c>
      <c r="C17" s="77">
        <f t="shared" ref="C17:D17" si="0">C16*$B$8</f>
        <v>29812722.56316356</v>
      </c>
      <c r="D17" s="77">
        <f t="shared" si="0"/>
        <v>179418384.88012978</v>
      </c>
      <c r="E17" s="78">
        <f>SUM(B17:D17)</f>
        <v>597770568.86791086</v>
      </c>
      <c r="F17" s="76"/>
      <c r="G17" s="92"/>
    </row>
    <row r="18" spans="1:7" ht="15.5">
      <c r="A18" s="79" t="s">
        <v>219</v>
      </c>
      <c r="B18" s="203">
        <f>B17/B7</f>
        <v>69.316233394938692</v>
      </c>
      <c r="C18" s="203">
        <f>C17/B7</f>
        <v>5.3186505889254008</v>
      </c>
      <c r="D18" s="203">
        <f>D17/B7</f>
        <v>32.008606271532862</v>
      </c>
      <c r="E18" s="204"/>
      <c r="F18" s="76"/>
      <c r="G18" s="92"/>
    </row>
    <row r="19" spans="1:7" ht="31">
      <c r="A19" s="496" t="s">
        <v>422</v>
      </c>
      <c r="B19" s="497">
        <f>B17/$B$12</f>
        <v>0.64998091518699874</v>
      </c>
      <c r="C19" s="497">
        <f t="shared" ref="C19:D19" si="1">C17/$B$12</f>
        <v>4.9873185659883607E-2</v>
      </c>
      <c r="D19" s="497">
        <f t="shared" si="1"/>
        <v>0.30014589915311773</v>
      </c>
      <c r="E19" s="497">
        <f>B19+C19+D19</f>
        <v>1</v>
      </c>
      <c r="F19" s="76"/>
      <c r="G19" s="92"/>
    </row>
    <row r="20" spans="1:7" ht="15.5">
      <c r="A20" s="76"/>
      <c r="B20" s="76"/>
      <c r="C20" s="76"/>
      <c r="D20" s="76"/>
      <c r="E20" s="76"/>
      <c r="F20" s="76"/>
      <c r="G20" s="92"/>
    </row>
    <row r="21" spans="1:7" ht="17" thickBot="1">
      <c r="A21" s="175" t="s">
        <v>213</v>
      </c>
      <c r="B21" s="175"/>
      <c r="C21" s="175"/>
      <c r="D21" s="175"/>
      <c r="E21" s="175"/>
      <c r="F21" s="76"/>
      <c r="G21" s="31"/>
    </row>
    <row r="22" spans="1:7" ht="16" thickTop="1">
      <c r="A22" s="80" t="s">
        <v>6</v>
      </c>
      <c r="B22" s="80" t="s">
        <v>7</v>
      </c>
      <c r="C22" s="80" t="s">
        <v>36</v>
      </c>
      <c r="D22" s="80" t="s">
        <v>37</v>
      </c>
      <c r="E22" s="80" t="s">
        <v>40</v>
      </c>
      <c r="F22" s="76"/>
      <c r="G22" s="31"/>
    </row>
    <row r="23" spans="1:7" ht="15.5">
      <c r="A23" s="76">
        <v>31</v>
      </c>
      <c r="B23" s="76" t="s">
        <v>14</v>
      </c>
      <c r="C23" s="78">
        <f>Määräytymistekijät!C8</f>
        <v>684018</v>
      </c>
      <c r="D23" s="82">
        <f>Määräytymistekijät!F35</f>
        <v>1.5527929174700713E-2</v>
      </c>
      <c r="E23" s="83">
        <f>Määräytymistekijät!L35</f>
        <v>0.40120892264092639</v>
      </c>
      <c r="F23" s="103"/>
      <c r="G23" s="31"/>
    </row>
    <row r="24" spans="1:7" ht="15.5">
      <c r="A24" s="76">
        <v>32</v>
      </c>
      <c r="B24" s="76" t="s">
        <v>41</v>
      </c>
      <c r="C24" s="78">
        <f>Määräytymistekijät!C9</f>
        <v>289730</v>
      </c>
      <c r="D24" s="82">
        <f>Määräytymistekijät!F36</f>
        <v>1.3892287141556922E-2</v>
      </c>
      <c r="E24" s="83">
        <f>Määräytymistekijät!L36</f>
        <v>0.7388210312382596</v>
      </c>
      <c r="F24" s="76"/>
      <c r="G24" s="31"/>
    </row>
    <row r="25" spans="1:7" ht="15.5">
      <c r="A25" s="76">
        <v>33</v>
      </c>
      <c r="B25" s="76" t="s">
        <v>15</v>
      </c>
      <c r="C25" s="78">
        <f>Määräytymistekijät!C10</f>
        <v>502067</v>
      </c>
      <c r="D25" s="82">
        <f>Määräytymistekijät!F37</f>
        <v>0.23233437032867954</v>
      </c>
      <c r="E25" s="83">
        <f>Määräytymistekijät!L37</f>
        <v>0.80898068340193996</v>
      </c>
      <c r="F25" s="76"/>
      <c r="G25" s="31"/>
    </row>
    <row r="26" spans="1:7" ht="15.5">
      <c r="A26" s="76">
        <v>34</v>
      </c>
      <c r="B26" s="76" t="s">
        <v>16</v>
      </c>
      <c r="C26" s="78">
        <f>Määräytymistekijät!C11</f>
        <v>99415</v>
      </c>
      <c r="D26" s="82">
        <f>Määräytymistekijät!F38</f>
        <v>0.8212346226898829</v>
      </c>
      <c r="E26" s="83">
        <f>Määräytymistekijät!L38</f>
        <v>1.1594058485715486</v>
      </c>
      <c r="F26" s="76"/>
      <c r="G26" s="31"/>
    </row>
    <row r="27" spans="1:7" ht="15.5">
      <c r="A27" s="76">
        <v>35</v>
      </c>
      <c r="B27" s="76" t="s">
        <v>17</v>
      </c>
      <c r="C27" s="78">
        <f>Määräytymistekijät!C12</f>
        <v>207070</v>
      </c>
      <c r="D27" s="82">
        <f>Määräytymistekijät!F39</f>
        <v>0.12299672860888844</v>
      </c>
      <c r="E27" s="83">
        <f>Määräytymistekijät!L39</f>
        <v>0.98736380456375084</v>
      </c>
      <c r="F27" s="76"/>
      <c r="G27" s="31"/>
    </row>
    <row r="28" spans="1:7" ht="15.5">
      <c r="A28" s="76">
        <v>2</v>
      </c>
      <c r="B28" s="76" t="s">
        <v>18</v>
      </c>
      <c r="C28" s="78">
        <f>Määräytymistekijät!C13</f>
        <v>494819</v>
      </c>
      <c r="D28" s="82">
        <f>Määräytymistekijät!F40</f>
        <v>0.61616194267070146</v>
      </c>
      <c r="E28" s="83">
        <f>Määräytymistekijät!L40</f>
        <v>1.0509957511434833</v>
      </c>
      <c r="F28" s="76"/>
      <c r="G28" s="31"/>
    </row>
    <row r="29" spans="1:7" ht="15.5">
      <c r="A29" s="76">
        <v>4</v>
      </c>
      <c r="B29" s="76" t="s">
        <v>19</v>
      </c>
      <c r="C29" s="78">
        <f>Määräytymistekijät!C14</f>
        <v>211261</v>
      </c>
      <c r="D29" s="82">
        <f>Määräytymistekijät!F41</f>
        <v>0.80761518271727217</v>
      </c>
      <c r="E29" s="83">
        <f>Määräytymistekijät!L41</f>
        <v>1.4938831283296556</v>
      </c>
      <c r="F29" s="76"/>
      <c r="G29" s="31"/>
    </row>
    <row r="30" spans="1:7" ht="15.5">
      <c r="A30" s="76">
        <v>5</v>
      </c>
      <c r="B30" s="76" t="s">
        <v>20</v>
      </c>
      <c r="C30" s="78">
        <f>Määräytymistekijät!C15</f>
        <v>169455</v>
      </c>
      <c r="D30" s="82">
        <f>Määräytymistekijät!F42</f>
        <v>0.50002600287084986</v>
      </c>
      <c r="E30" s="83">
        <f>Määräytymistekijät!L42</f>
        <v>1.076974376815413</v>
      </c>
      <c r="F30" s="76"/>
      <c r="G30" s="31"/>
    </row>
    <row r="31" spans="1:7" ht="15.5">
      <c r="A31" s="76">
        <v>6</v>
      </c>
      <c r="B31" s="76" t="s">
        <v>21</v>
      </c>
      <c r="C31" s="78">
        <f>Määräytymistekijät!C16</f>
        <v>545406</v>
      </c>
      <c r="D31" s="82">
        <f>Määräytymistekijät!F43</f>
        <v>0.42324083005315233</v>
      </c>
      <c r="E31" s="83">
        <f>Määräytymistekijät!L43</f>
        <v>0.86042755944813964</v>
      </c>
      <c r="F31" s="76"/>
      <c r="G31" s="31"/>
    </row>
    <row r="32" spans="1:7" ht="15.5">
      <c r="A32" s="76">
        <v>7</v>
      </c>
      <c r="B32" s="76" t="s">
        <v>22</v>
      </c>
      <c r="C32" s="78">
        <f>Määräytymistekijät!C17</f>
        <v>204635</v>
      </c>
      <c r="D32" s="82">
        <f>Määräytymistekijät!F44</f>
        <v>0.50358750158145626</v>
      </c>
      <c r="E32" s="83">
        <f>Määräytymistekijät!L44</f>
        <v>1.0862835835808682</v>
      </c>
      <c r="F32" s="76"/>
      <c r="G32" s="31"/>
    </row>
    <row r="33" spans="1:7" ht="15.5">
      <c r="A33" s="76">
        <v>8</v>
      </c>
      <c r="B33" s="76" t="s">
        <v>23</v>
      </c>
      <c r="C33" s="78">
        <f>Määräytymistekijät!C18</f>
        <v>157442</v>
      </c>
      <c r="D33" s="82">
        <f>Määräytymistekijät!F45</f>
        <v>0.63820781871819143</v>
      </c>
      <c r="E33" s="83">
        <f>Määräytymistekijät!L45</f>
        <v>1.5513418980566245</v>
      </c>
      <c r="F33" s="76"/>
      <c r="G33" s="31"/>
    </row>
    <row r="34" spans="1:7" ht="15.5">
      <c r="A34" s="76">
        <v>9</v>
      </c>
      <c r="B34" s="76" t="s">
        <v>24</v>
      </c>
      <c r="C34" s="78">
        <f>Määräytymistekijät!C19</f>
        <v>125083</v>
      </c>
      <c r="D34" s="82">
        <f>Määräytymistekijät!F46</f>
        <v>0.81560914979133148</v>
      </c>
      <c r="E34" s="83">
        <f>Määräytymistekijät!L46</f>
        <v>1.3932002692439882</v>
      </c>
      <c r="F34" s="76"/>
      <c r="G34" s="31"/>
    </row>
    <row r="35" spans="1:7" ht="15.5">
      <c r="A35" s="76">
        <v>10</v>
      </c>
      <c r="B35" s="76" t="s">
        <v>25</v>
      </c>
      <c r="C35" s="78">
        <f>Määräytymistekijät!C20</f>
        <v>129376</v>
      </c>
      <c r="D35" s="82">
        <f>Määräytymistekijät!F47</f>
        <v>1.9620367794363505</v>
      </c>
      <c r="E35" s="83">
        <f>Määräytymistekijät!L47</f>
        <v>1.431819149391895</v>
      </c>
      <c r="F35" s="76"/>
      <c r="G35" s="31"/>
    </row>
    <row r="36" spans="1:7" ht="15.5">
      <c r="A36" s="76">
        <v>11</v>
      </c>
      <c r="B36" s="76" t="s">
        <v>26</v>
      </c>
      <c r="C36" s="78">
        <f>Määräytymistekijät!C21</f>
        <v>248815</v>
      </c>
      <c r="D36" s="82">
        <f>Määräytymistekijät!F48</f>
        <v>1.2575956974679698</v>
      </c>
      <c r="E36" s="83">
        <f>Määräytymistekijät!L48</f>
        <v>1.0202422100093489</v>
      </c>
      <c r="F36" s="76"/>
      <c r="G36" s="31"/>
    </row>
    <row r="37" spans="1:7" ht="15.5">
      <c r="A37" s="76">
        <v>12</v>
      </c>
      <c r="B37" s="76" t="s">
        <v>27</v>
      </c>
      <c r="C37" s="78">
        <f>Määräytymistekijät!C22</f>
        <v>162091</v>
      </c>
      <c r="D37" s="82">
        <f>Määräytymistekijät!F49</f>
        <v>2.0976204459012715</v>
      </c>
      <c r="E37" s="83">
        <f>Määräytymistekijät!L49</f>
        <v>1.2613496308309275</v>
      </c>
      <c r="F37" s="76"/>
      <c r="G37" s="31"/>
    </row>
    <row r="38" spans="1:7" ht="15.5">
      <c r="A38" s="76">
        <v>13</v>
      </c>
      <c r="B38" s="76" t="s">
        <v>28</v>
      </c>
      <c r="C38" s="78">
        <f>Määräytymistekijät!C23</f>
        <v>274112</v>
      </c>
      <c r="D38" s="82">
        <f>Määräytymistekijät!F50</f>
        <v>1.0296521791486504</v>
      </c>
      <c r="E38" s="83">
        <f>Määräytymistekijät!L50</f>
        <v>1.0262045367155626</v>
      </c>
      <c r="F38" s="76"/>
      <c r="G38" s="31"/>
    </row>
    <row r="39" spans="1:7" ht="15.5">
      <c r="A39" s="76">
        <v>14</v>
      </c>
      <c r="B39" s="76" t="s">
        <v>29</v>
      </c>
      <c r="C39" s="78">
        <f>Määräytymistekijät!C24</f>
        <v>189929</v>
      </c>
      <c r="D39" s="82">
        <f>Määräytymistekijät!F51</f>
        <v>1.1220740687003832</v>
      </c>
      <c r="E39" s="83">
        <f>Määräytymistekijät!L51</f>
        <v>1.3510096232378739</v>
      </c>
      <c r="F39" s="76"/>
      <c r="G39" s="31"/>
    </row>
    <row r="40" spans="1:7" ht="15.5">
      <c r="A40" s="76">
        <v>15</v>
      </c>
      <c r="B40" s="76" t="s">
        <v>30</v>
      </c>
      <c r="C40" s="78">
        <f>Määräytymistekijät!C25</f>
        <v>178749</v>
      </c>
      <c r="D40" s="82">
        <f>Määräytymistekijät!F52</f>
        <v>1.4811388007433584</v>
      </c>
      <c r="E40" s="83">
        <f>Määräytymistekijät!L52</f>
        <v>1.2205669920020026</v>
      </c>
      <c r="F40" s="76"/>
      <c r="G40" s="31"/>
    </row>
    <row r="41" spans="1:7" ht="15.5">
      <c r="A41" s="76">
        <v>16</v>
      </c>
      <c r="B41" s="76" t="s">
        <v>31</v>
      </c>
      <c r="C41" s="78">
        <f>Määräytymistekijät!C26</f>
        <v>67723</v>
      </c>
      <c r="D41" s="82">
        <f>Määräytymistekijät!F53</f>
        <v>1.4167580036938228</v>
      </c>
      <c r="E41" s="83">
        <f>Määräytymistekijät!L53</f>
        <v>1.2156909388848747</v>
      </c>
      <c r="F41" s="76"/>
      <c r="G41" s="31"/>
    </row>
    <row r="42" spans="1:7" ht="15.5">
      <c r="A42" s="76">
        <v>17</v>
      </c>
      <c r="B42" s="76" t="s">
        <v>32</v>
      </c>
      <c r="C42" s="78">
        <f>Määräytymistekijät!C27</f>
        <v>418331</v>
      </c>
      <c r="D42" s="82">
        <f>Määräytymistekijät!F54</f>
        <v>1.6271514340633941</v>
      </c>
      <c r="E42" s="83">
        <f>Määräytymistekijät!L54</f>
        <v>1.0627548095936996</v>
      </c>
      <c r="F42" s="76"/>
      <c r="G42" s="31"/>
    </row>
    <row r="43" spans="1:7" ht="15.5">
      <c r="A43" s="76">
        <v>18</v>
      </c>
      <c r="B43" s="76" t="s">
        <v>33</v>
      </c>
      <c r="C43" s="78">
        <f>Määräytymistekijät!C28</f>
        <v>69639</v>
      </c>
      <c r="D43" s="82">
        <f>Määräytymistekijät!F55</f>
        <v>4.8365003698819082</v>
      </c>
      <c r="E43" s="83">
        <f>Määräytymistekijät!L55</f>
        <v>1.4186918959910457</v>
      </c>
      <c r="F43" s="76"/>
      <c r="G43" s="31"/>
    </row>
    <row r="44" spans="1:7" ht="15.5">
      <c r="A44" s="76">
        <v>19</v>
      </c>
      <c r="B44" s="76" t="s">
        <v>34</v>
      </c>
      <c r="C44" s="78">
        <f>Määräytymistekijät!C29</f>
        <v>176151</v>
      </c>
      <c r="D44" s="82">
        <f>Määräytymistekijät!F56</f>
        <v>8.4585311786291211</v>
      </c>
      <c r="E44" s="83">
        <f>Määräytymistekijät!L56</f>
        <v>1.3476251511070392</v>
      </c>
      <c r="F44" s="76"/>
      <c r="G44" s="31"/>
    </row>
    <row r="45" spans="1:7" ht="15.5">
      <c r="A45" s="81"/>
      <c r="B45" s="76" t="s">
        <v>35</v>
      </c>
      <c r="C45" s="84">
        <f>Määräytymistekijät!C30</f>
        <v>5605317</v>
      </c>
      <c r="D45" s="85">
        <f>Määräytymistekijät!F57</f>
        <v>1</v>
      </c>
      <c r="E45" s="86">
        <f>Määräytymistekijät!L57</f>
        <v>1</v>
      </c>
      <c r="F45" s="76"/>
      <c r="G45" s="31"/>
    </row>
    <row r="46" spans="1:7" ht="15.5">
      <c r="A46" s="76"/>
      <c r="B46" s="76"/>
      <c r="C46" s="76"/>
      <c r="D46" s="76"/>
      <c r="E46" s="76"/>
      <c r="F46" s="76"/>
      <c r="G46" s="31"/>
    </row>
    <row r="47" spans="1:7" ht="17" thickBot="1">
      <c r="A47" s="175" t="s">
        <v>198</v>
      </c>
      <c r="B47" s="175"/>
      <c r="C47" s="175"/>
      <c r="D47" s="175"/>
      <c r="E47" s="175"/>
      <c r="F47" s="175"/>
      <c r="G47" s="87"/>
    </row>
    <row r="48" spans="1:7" ht="16" thickTop="1">
      <c r="A48" s="169" t="s">
        <v>6</v>
      </c>
      <c r="B48" s="169" t="s">
        <v>7</v>
      </c>
      <c r="C48" s="169" t="s">
        <v>158</v>
      </c>
      <c r="D48" s="169" t="s">
        <v>12</v>
      </c>
      <c r="E48" s="169" t="s">
        <v>177</v>
      </c>
      <c r="F48" s="169" t="s">
        <v>196</v>
      </c>
      <c r="G48" s="87"/>
    </row>
    <row r="49" spans="1:14" ht="15.5">
      <c r="A49" s="168">
        <v>31</v>
      </c>
      <c r="B49" s="168" t="s">
        <v>14</v>
      </c>
      <c r="C49" s="162">
        <f>C23*$B$18</f>
        <v>47413551.334339172</v>
      </c>
      <c r="D49" s="162">
        <f>D23*C23*$C$18</f>
        <v>56491.425257806375</v>
      </c>
      <c r="E49" s="162">
        <f>E23*C23*$D$18</f>
        <v>8784253.849700354</v>
      </c>
      <c r="F49" s="303">
        <f>SUM(C49:E49)</f>
        <v>56254296.609297335</v>
      </c>
      <c r="G49" s="31"/>
      <c r="H49" s="208"/>
      <c r="I49" s="208"/>
      <c r="J49" s="208"/>
      <c r="L49" s="208"/>
      <c r="M49" s="208"/>
      <c r="N49" s="208"/>
    </row>
    <row r="50" spans="1:14" ht="15.5">
      <c r="A50" s="168">
        <v>32</v>
      </c>
      <c r="B50" s="168" t="s">
        <v>41</v>
      </c>
      <c r="C50" s="162">
        <f t="shared" ref="C50:C71" si="2">C24*$B$18</f>
        <v>20082992.301515587</v>
      </c>
      <c r="D50" s="162">
        <f t="shared" ref="D50:D71" si="3">D24*C24*$C$18</f>
        <v>21407.634324498642</v>
      </c>
      <c r="E50" s="162">
        <f t="shared" ref="E50:E71" si="4">E24*C24*$D$18</f>
        <v>6851718.0027662776</v>
      </c>
      <c r="F50" s="303">
        <f t="shared" ref="F50:F71" si="5">SUM(C50:E50)</f>
        <v>26956117.938606363</v>
      </c>
      <c r="G50" s="31"/>
      <c r="H50" s="208"/>
      <c r="I50" s="208"/>
      <c r="J50" s="208"/>
      <c r="L50" s="208"/>
      <c r="M50" s="208"/>
      <c r="N50" s="208"/>
    </row>
    <row r="51" spans="1:14" ht="15.5">
      <c r="A51" s="168">
        <v>33</v>
      </c>
      <c r="B51" s="168" t="s">
        <v>15</v>
      </c>
      <c r="C51" s="162">
        <f t="shared" si="2"/>
        <v>34801393.351896681</v>
      </c>
      <c r="D51" s="162">
        <f t="shared" si="3"/>
        <v>620406.87071675796</v>
      </c>
      <c r="E51" s="162">
        <f t="shared" si="4"/>
        <v>13000695.697556525</v>
      </c>
      <c r="F51" s="303">
        <f t="shared" si="5"/>
        <v>48422495.920169964</v>
      </c>
      <c r="G51" s="31"/>
      <c r="H51" s="208"/>
      <c r="I51" s="208"/>
      <c r="J51" s="208"/>
      <c r="L51" s="208"/>
      <c r="M51" s="208"/>
      <c r="N51" s="208"/>
    </row>
    <row r="52" spans="1:14" ht="15.5">
      <c r="A52" s="168">
        <v>34</v>
      </c>
      <c r="B52" s="168" t="s">
        <v>16</v>
      </c>
      <c r="C52" s="162">
        <f t="shared" si="2"/>
        <v>6891073.3429578301</v>
      </c>
      <c r="D52" s="162">
        <f t="shared" si="3"/>
        <v>434230.80285592243</v>
      </c>
      <c r="E52" s="162">
        <f t="shared" si="4"/>
        <v>3689386.6168741491</v>
      </c>
      <c r="F52" s="303">
        <f t="shared" si="5"/>
        <v>11014690.762687903</v>
      </c>
      <c r="G52" s="31"/>
      <c r="H52" s="208"/>
      <c r="I52" s="208"/>
      <c r="J52" s="208"/>
      <c r="L52" s="208"/>
      <c r="M52" s="208"/>
      <c r="N52" s="208"/>
    </row>
    <row r="53" spans="1:14" ht="15.5">
      <c r="A53" s="168">
        <v>35</v>
      </c>
      <c r="B53" s="168" t="s">
        <v>17</v>
      </c>
      <c r="C53" s="162">
        <f t="shared" si="2"/>
        <v>14353312.449089956</v>
      </c>
      <c r="D53" s="162">
        <f t="shared" si="3"/>
        <v>135460.35333528699</v>
      </c>
      <c r="E53" s="162">
        <f t="shared" si="4"/>
        <v>6544269.1180267651</v>
      </c>
      <c r="F53" s="303">
        <f t="shared" si="5"/>
        <v>21033041.920452006</v>
      </c>
      <c r="G53" s="31"/>
      <c r="H53" s="208"/>
      <c r="I53" s="208"/>
      <c r="J53" s="208"/>
      <c r="L53" s="208"/>
      <c r="M53" s="208"/>
      <c r="N53" s="208"/>
    </row>
    <row r="54" spans="1:14" ht="15.5">
      <c r="A54" s="168">
        <v>2</v>
      </c>
      <c r="B54" s="168" t="s">
        <v>18</v>
      </c>
      <c r="C54" s="162">
        <f t="shared" si="2"/>
        <v>34298989.292250171</v>
      </c>
      <c r="D54" s="162">
        <f t="shared" si="3"/>
        <v>1621596.1250688322</v>
      </c>
      <c r="E54" s="162">
        <f t="shared" si="4"/>
        <v>16646161.045182174</v>
      </c>
      <c r="F54" s="303">
        <f t="shared" si="5"/>
        <v>52566746.462501176</v>
      </c>
      <c r="G54" s="31"/>
      <c r="H54" s="208"/>
      <c r="I54" s="208"/>
      <c r="J54" s="208"/>
      <c r="L54" s="208"/>
      <c r="M54" s="208"/>
      <c r="N54" s="208"/>
    </row>
    <row r="55" spans="1:14" ht="15.5">
      <c r="A55" s="168">
        <v>4</v>
      </c>
      <c r="B55" s="168" t="s">
        <v>19</v>
      </c>
      <c r="C55" s="162">
        <f t="shared" si="2"/>
        <v>14643816.783248143</v>
      </c>
      <c r="D55" s="162">
        <f t="shared" si="3"/>
        <v>907455.35147032549</v>
      </c>
      <c r="E55" s="162">
        <f t="shared" si="4"/>
        <v>10101891.927155407</v>
      </c>
      <c r="F55" s="303">
        <f t="shared" si="5"/>
        <v>25653164.061873876</v>
      </c>
      <c r="G55" s="31"/>
      <c r="H55" s="208"/>
      <c r="I55" s="208"/>
      <c r="J55" s="208"/>
      <c r="L55" s="208"/>
      <c r="M55" s="208"/>
      <c r="N55" s="208"/>
    </row>
    <row r="56" spans="1:14" ht="15.5">
      <c r="A56" s="168">
        <v>5</v>
      </c>
      <c r="B56" s="168" t="s">
        <v>20</v>
      </c>
      <c r="C56" s="162">
        <f t="shared" si="2"/>
        <v>11745982.329939336</v>
      </c>
      <c r="D56" s="162">
        <f t="shared" si="3"/>
        <v>450659.40343091747</v>
      </c>
      <c r="E56" s="162">
        <f t="shared" si="4"/>
        <v>5841528.8100507362</v>
      </c>
      <c r="F56" s="303">
        <f t="shared" si="5"/>
        <v>18038170.543420989</v>
      </c>
      <c r="G56" s="31"/>
      <c r="H56" s="208"/>
      <c r="I56" s="208"/>
      <c r="J56" s="208"/>
      <c r="L56" s="208"/>
      <c r="M56" s="208"/>
      <c r="N56" s="208"/>
    </row>
    <row r="57" spans="1:14" ht="15.5">
      <c r="A57" s="168">
        <v>6</v>
      </c>
      <c r="B57" s="168" t="s">
        <v>21</v>
      </c>
      <c r="C57" s="162">
        <f t="shared" si="2"/>
        <v>37805489.590999931</v>
      </c>
      <c r="D57" s="162">
        <f t="shared" si="3"/>
        <v>1227747.1335171612</v>
      </c>
      <c r="E57" s="162">
        <f t="shared" si="4"/>
        <v>15021074.082987607</v>
      </c>
      <c r="F57" s="303">
        <f t="shared" si="5"/>
        <v>54054310.807504699</v>
      </c>
      <c r="G57" s="31"/>
      <c r="H57" s="208"/>
      <c r="I57" s="208"/>
      <c r="J57" s="208"/>
      <c r="L57" s="208"/>
      <c r="M57" s="208"/>
      <c r="N57" s="208"/>
    </row>
    <row r="58" spans="1:14" ht="15.5">
      <c r="A58" s="168">
        <v>7</v>
      </c>
      <c r="B58" s="168" t="s">
        <v>22</v>
      </c>
      <c r="C58" s="162">
        <f t="shared" si="2"/>
        <v>14184527.420773279</v>
      </c>
      <c r="D58" s="162">
        <f t="shared" si="3"/>
        <v>548095.60400556563</v>
      </c>
      <c r="E58" s="162">
        <f t="shared" si="4"/>
        <v>7115245.618257287</v>
      </c>
      <c r="F58" s="303">
        <f t="shared" si="5"/>
        <v>21847868.643036131</v>
      </c>
      <c r="G58" s="31"/>
      <c r="H58" s="208"/>
      <c r="I58" s="208"/>
      <c r="J58" s="208"/>
      <c r="L58" s="208"/>
      <c r="M58" s="208"/>
      <c r="N58" s="208"/>
    </row>
    <row r="59" spans="1:14" ht="15.5">
      <c r="A59" s="168">
        <v>8</v>
      </c>
      <c r="B59" s="168" t="s">
        <v>23</v>
      </c>
      <c r="C59" s="162">
        <f t="shared" si="2"/>
        <v>10913286.418165937</v>
      </c>
      <c r="D59" s="162">
        <f t="shared" si="3"/>
        <v>534421.81610929174</v>
      </c>
      <c r="E59" s="162">
        <f t="shared" si="4"/>
        <v>7817985.9262333158</v>
      </c>
      <c r="F59" s="303">
        <f t="shared" si="5"/>
        <v>19265694.160508543</v>
      </c>
      <c r="G59" s="31"/>
      <c r="H59" s="208"/>
      <c r="I59" s="208"/>
      <c r="J59" s="208"/>
      <c r="L59" s="208"/>
      <c r="M59" s="208"/>
      <c r="N59" s="208"/>
    </row>
    <row r="60" spans="1:14" ht="15.5">
      <c r="A60" s="168">
        <v>9</v>
      </c>
      <c r="B60" s="168" t="s">
        <v>24</v>
      </c>
      <c r="C60" s="162">
        <f t="shared" si="2"/>
        <v>8670282.4217391163</v>
      </c>
      <c r="D60" s="162">
        <f t="shared" si="3"/>
        <v>542602.55963587051</v>
      </c>
      <c r="E60" s="162">
        <f t="shared" si="4"/>
        <v>5578001.1945597259</v>
      </c>
      <c r="F60" s="303">
        <f t="shared" si="5"/>
        <v>14790886.175934713</v>
      </c>
      <c r="G60" s="31"/>
      <c r="H60" s="208"/>
      <c r="I60" s="208"/>
      <c r="J60" s="208"/>
      <c r="L60" s="208"/>
      <c r="M60" s="208"/>
      <c r="N60" s="208"/>
    </row>
    <row r="61" spans="1:14" ht="15.5">
      <c r="A61" s="168">
        <v>10</v>
      </c>
      <c r="B61" s="168" t="s">
        <v>25</v>
      </c>
      <c r="C61" s="162">
        <f t="shared" si="2"/>
        <v>8967857.0117035881</v>
      </c>
      <c r="D61" s="162">
        <f t="shared" si="3"/>
        <v>1350088.7672603135</v>
      </c>
      <c r="E61" s="162">
        <f t="shared" si="4"/>
        <v>5929371.3485477399</v>
      </c>
      <c r="F61" s="303">
        <f t="shared" si="5"/>
        <v>16247317.127511641</v>
      </c>
      <c r="G61" s="31"/>
      <c r="H61" s="208"/>
      <c r="I61" s="208"/>
      <c r="J61" s="208"/>
      <c r="L61" s="208"/>
      <c r="M61" s="208"/>
      <c r="N61" s="208"/>
    </row>
    <row r="62" spans="1:14" ht="15.5">
      <c r="A62" s="168">
        <v>11</v>
      </c>
      <c r="B62" s="168" t="s">
        <v>26</v>
      </c>
      <c r="C62" s="162">
        <f t="shared" si="2"/>
        <v>17246918.61216167</v>
      </c>
      <c r="D62" s="162">
        <f t="shared" si="3"/>
        <v>1664251.9004071096</v>
      </c>
      <c r="E62" s="162">
        <f t="shared" si="4"/>
        <v>8125434.8109728303</v>
      </c>
      <c r="F62" s="303">
        <f t="shared" si="5"/>
        <v>27036605.323541611</v>
      </c>
      <c r="G62" s="31"/>
      <c r="H62" s="208"/>
      <c r="I62" s="208"/>
      <c r="J62" s="208"/>
      <c r="L62" s="208"/>
      <c r="M62" s="208"/>
      <c r="N62" s="208"/>
    </row>
    <row r="63" spans="1:14" ht="15.5">
      <c r="A63" s="168">
        <v>12</v>
      </c>
      <c r="B63" s="168" t="s">
        <v>27</v>
      </c>
      <c r="C63" s="162">
        <f t="shared" si="2"/>
        <v>11235537.587219007</v>
      </c>
      <c r="D63" s="162">
        <f t="shared" si="3"/>
        <v>1808369.898059445</v>
      </c>
      <c r="E63" s="162">
        <f t="shared" si="4"/>
        <v>6544269.1180267641</v>
      </c>
      <c r="F63" s="303">
        <f t="shared" si="5"/>
        <v>19588176.603305217</v>
      </c>
      <c r="G63" s="31"/>
      <c r="H63" s="208"/>
      <c r="I63" s="208"/>
      <c r="J63" s="208"/>
      <c r="L63" s="208"/>
      <c r="M63" s="208"/>
      <c r="N63" s="208"/>
    </row>
    <row r="64" spans="1:14" ht="15.5">
      <c r="A64" s="168">
        <v>13</v>
      </c>
      <c r="B64" s="168" t="s">
        <v>28</v>
      </c>
      <c r="C64" s="162">
        <f t="shared" si="2"/>
        <v>19000411.368353434</v>
      </c>
      <c r="D64" s="162">
        <f t="shared" si="3"/>
        <v>1501136.038649668</v>
      </c>
      <c r="E64" s="162">
        <f t="shared" si="4"/>
        <v>9003860.1959428657</v>
      </c>
      <c r="F64" s="303">
        <f t="shared" si="5"/>
        <v>29505407.602945969</v>
      </c>
      <c r="G64" s="31"/>
      <c r="H64" s="208"/>
      <c r="I64" s="208"/>
      <c r="J64" s="208"/>
      <c r="L64" s="208"/>
      <c r="M64" s="208"/>
      <c r="N64" s="208"/>
    </row>
    <row r="65" spans="1:14" ht="15.5">
      <c r="A65" s="168">
        <v>14</v>
      </c>
      <c r="B65" s="168" t="s">
        <v>29</v>
      </c>
      <c r="C65" s="162">
        <f t="shared" si="2"/>
        <v>13165162.892467311</v>
      </c>
      <c r="D65" s="162">
        <f t="shared" si="3"/>
        <v>1133481.0598857824</v>
      </c>
      <c r="E65" s="162">
        <f t="shared" si="4"/>
        <v>8213277.3494698331</v>
      </c>
      <c r="F65" s="303">
        <f t="shared" si="5"/>
        <v>22511921.301822927</v>
      </c>
      <c r="G65" s="88"/>
      <c r="H65" s="208"/>
      <c r="I65" s="208"/>
      <c r="J65" s="208"/>
      <c r="L65" s="208"/>
      <c r="M65" s="208"/>
      <c r="N65" s="208"/>
    </row>
    <row r="66" spans="1:14" ht="15.5">
      <c r="A66" s="168">
        <v>15</v>
      </c>
      <c r="B66" s="168" t="s">
        <v>30</v>
      </c>
      <c r="C66" s="162">
        <f t="shared" si="2"/>
        <v>12390207.403111896</v>
      </c>
      <c r="D66" s="162">
        <f t="shared" si="3"/>
        <v>1408123.8035203842</v>
      </c>
      <c r="E66" s="162">
        <f t="shared" si="4"/>
        <v>6983481.8105117828</v>
      </c>
      <c r="F66" s="303">
        <f t="shared" si="5"/>
        <v>20781813.017144062</v>
      </c>
      <c r="G66" s="89"/>
      <c r="H66" s="208"/>
      <c r="I66" s="208"/>
      <c r="J66" s="208"/>
      <c r="L66" s="208"/>
      <c r="M66" s="208"/>
      <c r="N66" s="208"/>
    </row>
    <row r="67" spans="1:14" ht="15.5">
      <c r="A67" s="168">
        <v>16</v>
      </c>
      <c r="B67" s="168" t="s">
        <v>31</v>
      </c>
      <c r="C67" s="162">
        <f t="shared" si="2"/>
        <v>4694303.2742054332</v>
      </c>
      <c r="D67" s="162">
        <f t="shared" si="3"/>
        <v>510309.11206931603</v>
      </c>
      <c r="E67" s="162">
        <f t="shared" si="4"/>
        <v>2635276.1549101067</v>
      </c>
      <c r="F67" s="303">
        <f t="shared" si="5"/>
        <v>7839888.5411848556</v>
      </c>
      <c r="G67" s="88"/>
      <c r="H67" s="208"/>
      <c r="I67" s="208"/>
      <c r="J67" s="208"/>
      <c r="L67" s="208"/>
      <c r="M67" s="208"/>
      <c r="N67" s="208"/>
    </row>
    <row r="68" spans="1:14" ht="15.5">
      <c r="A68" s="168">
        <v>17</v>
      </c>
      <c r="B68" s="168" t="s">
        <v>32</v>
      </c>
      <c r="C68" s="162">
        <f t="shared" si="2"/>
        <v>28997129.232338097</v>
      </c>
      <c r="D68" s="162">
        <f t="shared" si="3"/>
        <v>3620341.0287436103</v>
      </c>
      <c r="E68" s="162">
        <f t="shared" si="4"/>
        <v>14230491.236514576</v>
      </c>
      <c r="F68" s="303">
        <f t="shared" si="5"/>
        <v>46847961.497596279</v>
      </c>
      <c r="G68" s="90"/>
      <c r="H68" s="208"/>
      <c r="I68" s="208"/>
      <c r="J68" s="208"/>
      <c r="L68" s="208"/>
      <c r="M68" s="208"/>
      <c r="N68" s="208"/>
    </row>
    <row r="69" spans="1:14" ht="15.5">
      <c r="A69" s="168">
        <v>18</v>
      </c>
      <c r="B69" s="168" t="s">
        <v>33</v>
      </c>
      <c r="C69" s="162">
        <f t="shared" si="2"/>
        <v>4827113.1773901358</v>
      </c>
      <c r="D69" s="162">
        <f t="shared" si="3"/>
        <v>1791369.6481925629</v>
      </c>
      <c r="E69" s="162">
        <f t="shared" si="4"/>
        <v>3162331.3858921281</v>
      </c>
      <c r="F69" s="303">
        <f t="shared" si="5"/>
        <v>9780814.2114748266</v>
      </c>
      <c r="G69" s="31"/>
      <c r="H69" s="208"/>
      <c r="I69" s="208"/>
      <c r="J69" s="208"/>
      <c r="L69" s="208"/>
      <c r="M69" s="208"/>
      <c r="N69" s="208"/>
    </row>
    <row r="70" spans="1:14" ht="15.5">
      <c r="A70" s="168">
        <v>19</v>
      </c>
      <c r="B70" s="168" t="s">
        <v>34</v>
      </c>
      <c r="C70" s="162">
        <f t="shared" si="2"/>
        <v>12210123.828751845</v>
      </c>
      <c r="D70" s="162">
        <f t="shared" si="3"/>
        <v>7924676.2266471302</v>
      </c>
      <c r="E70" s="162">
        <f t="shared" si="4"/>
        <v>7598379.5799908079</v>
      </c>
      <c r="F70" s="303">
        <f t="shared" si="5"/>
        <v>27733179.635389782</v>
      </c>
      <c r="G70" s="31"/>
      <c r="H70" s="208"/>
      <c r="I70" s="208"/>
      <c r="J70" s="208"/>
      <c r="L70" s="208"/>
      <c r="M70" s="208"/>
      <c r="N70" s="208"/>
    </row>
    <row r="71" spans="1:14" ht="15.5">
      <c r="A71" s="168"/>
      <c r="B71" s="168" t="s">
        <v>35</v>
      </c>
      <c r="C71" s="163">
        <f t="shared" si="2"/>
        <v>388539461.42461759</v>
      </c>
      <c r="D71" s="163">
        <f t="shared" si="3"/>
        <v>29812722.56316356</v>
      </c>
      <c r="E71" s="163">
        <f t="shared" si="4"/>
        <v>179418384.88012975</v>
      </c>
      <c r="F71" s="303">
        <f t="shared" si="5"/>
        <v>597770568.86791086</v>
      </c>
      <c r="G71" s="91"/>
      <c r="H71" s="208"/>
      <c r="I71" s="208"/>
      <c r="J71" s="208"/>
      <c r="L71" s="208"/>
      <c r="M71" s="208"/>
      <c r="N71" s="208"/>
    </row>
    <row r="72" spans="1:14" ht="15.5">
      <c r="A72" s="168"/>
      <c r="B72" s="45" t="s">
        <v>178</v>
      </c>
      <c r="C72" s="212">
        <f>C71/F71</f>
        <v>0.64998091518699874</v>
      </c>
      <c r="D72" s="212">
        <f>D71/F71</f>
        <v>4.9873185659883607E-2</v>
      </c>
      <c r="E72" s="212">
        <f>E71/F71</f>
        <v>0.30014589915311768</v>
      </c>
      <c r="F72" s="304">
        <f>SUM(C72:E72)</f>
        <v>1</v>
      </c>
      <c r="G72" s="91"/>
    </row>
    <row r="73" spans="1:14" s="128" customFormat="1" ht="15.5">
      <c r="A73" s="164"/>
      <c r="B73" s="165"/>
      <c r="C73" s="166"/>
      <c r="D73" s="166"/>
      <c r="E73" s="166"/>
      <c r="F73" s="305"/>
      <c r="G73" s="167"/>
    </row>
    <row r="74" spans="1:14" ht="17" thickBot="1">
      <c r="A74" s="175" t="s">
        <v>199</v>
      </c>
      <c r="B74" s="175"/>
      <c r="C74" s="175"/>
      <c r="D74" s="175"/>
      <c r="E74" s="175"/>
      <c r="F74" s="175"/>
      <c r="G74" s="91"/>
    </row>
    <row r="75" spans="1:14" s="184" customFormat="1" ht="16" thickTop="1">
      <c r="A75" s="182" t="s">
        <v>6</v>
      </c>
      <c r="B75" s="182" t="s">
        <v>7</v>
      </c>
      <c r="C75" s="182" t="s">
        <v>158</v>
      </c>
      <c r="D75" s="182" t="s">
        <v>12</v>
      </c>
      <c r="E75" s="182" t="s">
        <v>177</v>
      </c>
      <c r="F75" s="182" t="s">
        <v>212</v>
      </c>
      <c r="G75" s="183"/>
    </row>
    <row r="76" spans="1:14" ht="15.5">
      <c r="A76" s="76">
        <v>31</v>
      </c>
      <c r="B76" s="76" t="s">
        <v>14</v>
      </c>
      <c r="C76" s="78">
        <f>C49/C23</f>
        <v>69.316233394938692</v>
      </c>
      <c r="D76" s="78">
        <f>D49/C23</f>
        <v>8.2587629649813851E-2</v>
      </c>
      <c r="E76" s="78">
        <f>E49/C23</f>
        <v>12.842138437439299</v>
      </c>
      <c r="F76" s="84">
        <f>SUM(C76:E76)</f>
        <v>82.240959462027803</v>
      </c>
      <c r="G76" s="91"/>
    </row>
    <row r="77" spans="1:14" ht="15.5">
      <c r="A77" s="76">
        <v>32</v>
      </c>
      <c r="B77" s="76" t="s">
        <v>41</v>
      </c>
      <c r="C77" s="78">
        <f t="shared" ref="C77:C98" si="6">C50/C24</f>
        <v>69.316233394938692</v>
      </c>
      <c r="D77" s="78">
        <f t="shared" ref="D77:D98" si="7">D50/C24</f>
        <v>7.3888221186962491E-2</v>
      </c>
      <c r="E77" s="78">
        <f t="shared" ref="E77:E98" si="8">E50/C24</f>
        <v>23.648631494033332</v>
      </c>
      <c r="F77" s="84">
        <f t="shared" ref="F77:F98" si="9">SUM(C77:E77)</f>
        <v>93.038753110158979</v>
      </c>
      <c r="G77" s="91"/>
    </row>
    <row r="78" spans="1:14" ht="15.5">
      <c r="A78" s="76">
        <v>33</v>
      </c>
      <c r="B78" s="76" t="s">
        <v>15</v>
      </c>
      <c r="C78" s="78">
        <f t="shared" si="6"/>
        <v>69.316233394938692</v>
      </c>
      <c r="D78" s="78">
        <f t="shared" si="7"/>
        <v>1.2357053355762437</v>
      </c>
      <c r="E78" s="78">
        <f t="shared" si="8"/>
        <v>25.894344176288275</v>
      </c>
      <c r="F78" s="84">
        <f t="shared" si="9"/>
        <v>96.446282906803205</v>
      </c>
      <c r="G78" s="91"/>
    </row>
    <row r="79" spans="1:14" ht="15.5">
      <c r="A79" s="76">
        <v>34</v>
      </c>
      <c r="B79" s="76" t="s">
        <v>16</v>
      </c>
      <c r="C79" s="78">
        <f t="shared" si="6"/>
        <v>69.316233394938692</v>
      </c>
      <c r="D79" s="78">
        <f t="shared" si="7"/>
        <v>4.3678600096154749</v>
      </c>
      <c r="E79" s="78">
        <f t="shared" si="8"/>
        <v>37.110965315839152</v>
      </c>
      <c r="F79" s="84">
        <f t="shared" si="9"/>
        <v>110.79505872039331</v>
      </c>
      <c r="G79" s="91"/>
    </row>
    <row r="80" spans="1:14" ht="15.5">
      <c r="A80" s="76">
        <v>35</v>
      </c>
      <c r="B80" s="76" t="s">
        <v>17</v>
      </c>
      <c r="C80" s="78">
        <f t="shared" si="6"/>
        <v>69.316233394938692</v>
      </c>
      <c r="D80" s="78">
        <f t="shared" si="7"/>
        <v>0.65417662305156221</v>
      </c>
      <c r="E80" s="78">
        <f t="shared" si="8"/>
        <v>31.604139267043827</v>
      </c>
      <c r="F80" s="84">
        <f t="shared" si="9"/>
        <v>101.5745492850341</v>
      </c>
      <c r="G80" s="91"/>
    </row>
    <row r="81" spans="1:7" ht="15.5">
      <c r="A81" s="76">
        <v>2</v>
      </c>
      <c r="B81" s="76" t="s">
        <v>18</v>
      </c>
      <c r="C81" s="78">
        <f t="shared" si="6"/>
        <v>69.316233394938692</v>
      </c>
      <c r="D81" s="78">
        <f t="shared" si="7"/>
        <v>3.2771500792589454</v>
      </c>
      <c r="E81" s="78">
        <f t="shared" si="8"/>
        <v>33.640909191405697</v>
      </c>
      <c r="F81" s="84">
        <f t="shared" si="9"/>
        <v>106.23429266560333</v>
      </c>
      <c r="G81" s="91"/>
    </row>
    <row r="82" spans="1:7" ht="15.5">
      <c r="A82" s="76">
        <v>4</v>
      </c>
      <c r="B82" s="76" t="s">
        <v>19</v>
      </c>
      <c r="C82" s="78">
        <f t="shared" si="6"/>
        <v>69.316233394938692</v>
      </c>
      <c r="D82" s="78">
        <f t="shared" si="7"/>
        <v>4.2954229671843143</v>
      </c>
      <c r="E82" s="78">
        <f t="shared" si="8"/>
        <v>47.817116870389739</v>
      </c>
      <c r="F82" s="84">
        <f t="shared" si="9"/>
        <v>121.42877323251274</v>
      </c>
      <c r="G82" s="91"/>
    </row>
    <row r="83" spans="1:7" ht="15.5">
      <c r="A83" s="76">
        <v>5</v>
      </c>
      <c r="B83" s="76" t="s">
        <v>20</v>
      </c>
      <c r="C83" s="78">
        <f t="shared" si="6"/>
        <v>69.316233394938692</v>
      </c>
      <c r="D83" s="78">
        <f t="shared" si="7"/>
        <v>2.6594635946470597</v>
      </c>
      <c r="E83" s="78">
        <f t="shared" si="8"/>
        <v>34.472448792014021</v>
      </c>
      <c r="F83" s="84">
        <f t="shared" si="9"/>
        <v>106.44814578159978</v>
      </c>
      <c r="G83" s="91"/>
    </row>
    <row r="84" spans="1:7" ht="15.5">
      <c r="A84" s="76">
        <v>6</v>
      </c>
      <c r="B84" s="76" t="s">
        <v>21</v>
      </c>
      <c r="C84" s="78">
        <f t="shared" si="6"/>
        <v>69.316233394938692</v>
      </c>
      <c r="D84" s="78">
        <f t="shared" si="7"/>
        <v>2.251070090019474</v>
      </c>
      <c r="E84" s="78">
        <f t="shared" si="8"/>
        <v>27.541086975551437</v>
      </c>
      <c r="F84" s="84">
        <f t="shared" si="9"/>
        <v>99.108390460509597</v>
      </c>
      <c r="G84" s="91"/>
    </row>
    <row r="85" spans="1:7" ht="15.5">
      <c r="A85" s="76">
        <v>7</v>
      </c>
      <c r="B85" s="76" t="s">
        <v>22</v>
      </c>
      <c r="C85" s="78">
        <f t="shared" si="6"/>
        <v>69.316233394938692</v>
      </c>
      <c r="D85" s="78">
        <f t="shared" si="7"/>
        <v>2.6784059618616838</v>
      </c>
      <c r="E85" s="78">
        <f t="shared" si="8"/>
        <v>34.77042352606977</v>
      </c>
      <c r="F85" s="84">
        <f t="shared" si="9"/>
        <v>106.76506288287015</v>
      </c>
      <c r="G85" s="91"/>
    </row>
    <row r="86" spans="1:7" ht="15.5">
      <c r="A86" s="76">
        <v>8</v>
      </c>
      <c r="B86" s="76" t="s">
        <v>23</v>
      </c>
      <c r="C86" s="78">
        <f t="shared" si="6"/>
        <v>69.316233394938692</v>
      </c>
      <c r="D86" s="78">
        <f t="shared" si="7"/>
        <v>3.3944043908823041</v>
      </c>
      <c r="E86" s="78">
        <f t="shared" si="8"/>
        <v>49.656292007426963</v>
      </c>
      <c r="F86" s="84">
        <f t="shared" si="9"/>
        <v>122.36692979324795</v>
      </c>
      <c r="G86" s="91"/>
    </row>
    <row r="87" spans="1:7" ht="15.5">
      <c r="A87" s="76">
        <v>9</v>
      </c>
      <c r="B87" s="76" t="s">
        <v>24</v>
      </c>
      <c r="C87" s="78">
        <f t="shared" si="6"/>
        <v>69.316233394938692</v>
      </c>
      <c r="D87" s="78">
        <f t="shared" si="7"/>
        <v>4.3379400848706098</v>
      </c>
      <c r="E87" s="78">
        <f t="shared" si="8"/>
        <v>44.594398875624393</v>
      </c>
      <c r="F87" s="84">
        <f t="shared" si="9"/>
        <v>118.24857235543369</v>
      </c>
      <c r="G87" s="91"/>
    </row>
    <row r="88" spans="1:7" ht="15.5">
      <c r="A88" s="76">
        <v>10</v>
      </c>
      <c r="B88" s="76" t="s">
        <v>25</v>
      </c>
      <c r="C88" s="78">
        <f t="shared" si="6"/>
        <v>69.316233394938692</v>
      </c>
      <c r="D88" s="78">
        <f t="shared" si="7"/>
        <v>10.435388072442443</v>
      </c>
      <c r="E88" s="78">
        <f t="shared" si="8"/>
        <v>45.830535404926259</v>
      </c>
      <c r="F88" s="84">
        <f t="shared" si="9"/>
        <v>125.58215687230739</v>
      </c>
      <c r="G88" s="91"/>
    </row>
    <row r="89" spans="1:7" ht="15.5">
      <c r="A89" s="76">
        <v>11</v>
      </c>
      <c r="B89" s="76" t="s">
        <v>26</v>
      </c>
      <c r="C89" s="78">
        <f t="shared" si="6"/>
        <v>69.316233394938692</v>
      </c>
      <c r="D89" s="78">
        <f t="shared" si="7"/>
        <v>6.6887120969680671</v>
      </c>
      <c r="E89" s="78">
        <f t="shared" si="8"/>
        <v>32.656531201787793</v>
      </c>
      <c r="F89" s="84">
        <f t="shared" si="9"/>
        <v>108.66147669369454</v>
      </c>
      <c r="G89" s="91"/>
    </row>
    <row r="90" spans="1:7" ht="15.5">
      <c r="A90" s="76">
        <v>12</v>
      </c>
      <c r="B90" s="76" t="s">
        <v>27</v>
      </c>
      <c r="C90" s="78">
        <f t="shared" si="6"/>
        <v>69.316233394938692</v>
      </c>
      <c r="D90" s="78">
        <f t="shared" si="7"/>
        <v>11.156510219934759</v>
      </c>
      <c r="E90" s="78">
        <f t="shared" si="8"/>
        <v>40.374043704010489</v>
      </c>
      <c r="F90" s="84">
        <f t="shared" si="9"/>
        <v>120.84678731888394</v>
      </c>
      <c r="G90" s="91"/>
    </row>
    <row r="91" spans="1:7" ht="15.5">
      <c r="A91" s="76">
        <v>13</v>
      </c>
      <c r="B91" s="76" t="s">
        <v>28</v>
      </c>
      <c r="C91" s="78">
        <f t="shared" si="6"/>
        <v>69.316233394938692</v>
      </c>
      <c r="D91" s="78">
        <f t="shared" si="7"/>
        <v>5.4763601690172923</v>
      </c>
      <c r="E91" s="78">
        <f t="shared" si="8"/>
        <v>32.847376969789231</v>
      </c>
      <c r="F91" s="84">
        <f t="shared" si="9"/>
        <v>107.63997053374521</v>
      </c>
      <c r="G91" s="91"/>
    </row>
    <row r="92" spans="1:7" ht="15.5">
      <c r="A92" s="76">
        <v>14</v>
      </c>
      <c r="B92" s="76" t="s">
        <v>29</v>
      </c>
      <c r="C92" s="78">
        <f t="shared" si="6"/>
        <v>69.316233394938692</v>
      </c>
      <c r="D92" s="78">
        <f t="shared" si="7"/>
        <v>5.9679199063112129</v>
      </c>
      <c r="E92" s="78">
        <f t="shared" si="8"/>
        <v>43.24393509927306</v>
      </c>
      <c r="F92" s="84">
        <f t="shared" si="9"/>
        <v>118.52808840052296</v>
      </c>
      <c r="G92" s="93"/>
    </row>
    <row r="93" spans="1:7" ht="15.5">
      <c r="A93" s="76">
        <v>15</v>
      </c>
      <c r="B93" s="76" t="s">
        <v>30</v>
      </c>
      <c r="C93" s="78">
        <f t="shared" si="6"/>
        <v>69.316233394938692</v>
      </c>
      <c r="D93" s="78">
        <f t="shared" si="7"/>
        <v>7.8776597548539247</v>
      </c>
      <c r="E93" s="78">
        <f t="shared" si="8"/>
        <v>39.068648275021303</v>
      </c>
      <c r="F93" s="84">
        <f t="shared" si="9"/>
        <v>116.26254142481392</v>
      </c>
      <c r="G93" s="92"/>
    </row>
    <row r="94" spans="1:7" ht="15.5">
      <c r="A94" s="76">
        <v>16</v>
      </c>
      <c r="B94" s="76" t="s">
        <v>31</v>
      </c>
      <c r="C94" s="78">
        <f t="shared" si="6"/>
        <v>69.316233394938692</v>
      </c>
      <c r="D94" s="78">
        <f t="shared" si="7"/>
        <v>7.535240790710926</v>
      </c>
      <c r="E94" s="78">
        <f t="shared" si="8"/>
        <v>38.912572610636069</v>
      </c>
      <c r="F94" s="84">
        <f t="shared" si="9"/>
        <v>115.7640467962857</v>
      </c>
      <c r="G94" s="93"/>
    </row>
    <row r="95" spans="1:7" ht="15.5">
      <c r="A95" s="76">
        <v>17</v>
      </c>
      <c r="B95" s="76" t="s">
        <v>32</v>
      </c>
      <c r="C95" s="78">
        <f t="shared" si="6"/>
        <v>69.316233394938692</v>
      </c>
      <c r="D95" s="78">
        <f t="shared" si="7"/>
        <v>8.6542499330520819</v>
      </c>
      <c r="E95" s="78">
        <f t="shared" si="8"/>
        <v>34.017300263462609</v>
      </c>
      <c r="F95" s="84">
        <f t="shared" si="9"/>
        <v>111.98778359145339</v>
      </c>
      <c r="G95" s="93"/>
    </row>
    <row r="96" spans="1:7" ht="15.5">
      <c r="A96" s="76">
        <v>18</v>
      </c>
      <c r="B96" s="76" t="s">
        <v>33</v>
      </c>
      <c r="C96" s="78">
        <f t="shared" si="6"/>
        <v>69.316233394938692</v>
      </c>
      <c r="D96" s="78">
        <f t="shared" si="7"/>
        <v>25.723655540610331</v>
      </c>
      <c r="E96" s="78">
        <f t="shared" si="8"/>
        <v>45.410350319391839</v>
      </c>
      <c r="F96" s="84">
        <f t="shared" si="9"/>
        <v>140.45023925494087</v>
      </c>
      <c r="G96" s="93"/>
    </row>
    <row r="97" spans="1:7" ht="15.5">
      <c r="A97" s="76">
        <v>19</v>
      </c>
      <c r="B97" s="76" t="s">
        <v>34</v>
      </c>
      <c r="C97" s="78">
        <f t="shared" si="6"/>
        <v>69.316233394938692</v>
      </c>
      <c r="D97" s="78">
        <f t="shared" si="7"/>
        <v>44.987971834659639</v>
      </c>
      <c r="E97" s="78">
        <f t="shared" si="8"/>
        <v>43.135602863400194</v>
      </c>
      <c r="F97" s="84">
        <f t="shared" si="9"/>
        <v>157.43980809299853</v>
      </c>
      <c r="G97" s="92"/>
    </row>
    <row r="98" spans="1:7" ht="15.5">
      <c r="A98" s="76"/>
      <c r="B98" s="76" t="s">
        <v>35</v>
      </c>
      <c r="C98" s="78">
        <f t="shared" si="6"/>
        <v>69.316233394938692</v>
      </c>
      <c r="D98" s="78">
        <f t="shared" si="7"/>
        <v>5.3186505889254008</v>
      </c>
      <c r="E98" s="78">
        <f t="shared" si="8"/>
        <v>32.008606271532862</v>
      </c>
      <c r="F98" s="84">
        <f t="shared" si="9"/>
        <v>106.64349025539696</v>
      </c>
      <c r="G98" s="31"/>
    </row>
    <row r="99" spans="1:7" ht="15.5">
      <c r="A99" s="76"/>
      <c r="B99" s="180" t="s">
        <v>178</v>
      </c>
      <c r="C99" s="213">
        <v>0.64999999999999991</v>
      </c>
      <c r="D99" s="213">
        <v>5.000000000000001E-2</v>
      </c>
      <c r="E99" s="213">
        <v>0.30000000000000004</v>
      </c>
      <c r="F99" s="213">
        <v>1</v>
      </c>
      <c r="G99" s="31"/>
    </row>
    <row r="100" spans="1:7" ht="15.5">
      <c r="A100" s="76"/>
      <c r="B100" s="81"/>
      <c r="C100" s="84"/>
      <c r="D100" s="84"/>
      <c r="E100" s="84"/>
      <c r="F100" s="84"/>
      <c r="G100" s="31"/>
    </row>
  </sheetData>
  <mergeCells count="1">
    <mergeCell ref="A3:D3"/>
  </mergeCells>
  <pageMargins left="0.7" right="0.7" top="0.75" bottom="0.75" header="0.3" footer="0.3"/>
  <tableParts count="5">
    <tablePart r:id="rId1"/>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0AF5B-F086-4304-9B3A-DCA7614913F2}">
  <sheetPr>
    <tabColor theme="4"/>
  </sheetPr>
  <dimension ref="A1:P55"/>
  <sheetViews>
    <sheetView zoomScale="85" zoomScaleNormal="85" workbookViewId="0"/>
  </sheetViews>
  <sheetFormatPr defaultRowHeight="15.5"/>
  <cols>
    <col min="1" max="1" width="23.25" style="264" customWidth="1"/>
    <col min="2" max="2" width="21.83203125" style="264" customWidth="1"/>
    <col min="3" max="3" width="15.33203125" style="264" customWidth="1"/>
    <col min="4" max="4" width="27.08203125" style="264" customWidth="1"/>
    <col min="5" max="5" width="25.83203125" style="264" customWidth="1"/>
    <col min="6" max="6" width="20.5" style="264" customWidth="1"/>
    <col min="7" max="7" width="25.58203125" style="264" customWidth="1"/>
    <col min="8" max="8" width="21.5" style="264" customWidth="1"/>
    <col min="9" max="9" width="18.33203125" style="264" customWidth="1"/>
    <col min="10" max="10" width="19.5" style="264" customWidth="1"/>
    <col min="11" max="11" width="14.5" style="264" customWidth="1"/>
    <col min="12" max="12" width="18.33203125" style="264" customWidth="1"/>
    <col min="13" max="13" width="17.83203125" style="264" customWidth="1"/>
    <col min="14" max="14" width="25.58203125" style="264" customWidth="1"/>
    <col min="15" max="15" width="20" style="264" customWidth="1"/>
    <col min="16" max="16" width="19.25" style="264" customWidth="1"/>
  </cols>
  <sheetData>
    <row r="1" spans="1:15" ht="20">
      <c r="A1" s="311" t="s">
        <v>249</v>
      </c>
    </row>
    <row r="2" spans="1:15">
      <c r="A2" s="264" t="str">
        <f>INFO!A2</f>
        <v>VM/HVO 22.9.2025</v>
      </c>
    </row>
    <row r="3" spans="1:15" ht="56.15" customHeight="1">
      <c r="A3" s="540" t="s">
        <v>439</v>
      </c>
      <c r="B3" s="540"/>
      <c r="C3" s="540"/>
      <c r="D3" s="540"/>
      <c r="E3" s="540"/>
      <c r="F3" s="540"/>
      <c r="G3" s="540"/>
    </row>
    <row r="4" spans="1:15" ht="15.65" customHeight="1">
      <c r="A4" s="356"/>
    </row>
    <row r="5" spans="1:15" ht="16.5">
      <c r="A5" s="352" t="s">
        <v>379</v>
      </c>
      <c r="B5" s="383"/>
      <c r="C5" s="383"/>
      <c r="D5" s="383"/>
      <c r="E5" s="383"/>
      <c r="F5" s="383"/>
      <c r="G5" s="383"/>
    </row>
    <row r="6" spans="1:15" ht="45.65" customHeight="1">
      <c r="A6" s="391" t="s">
        <v>6</v>
      </c>
      <c r="B6" s="391" t="s">
        <v>7</v>
      </c>
      <c r="C6" s="392" t="s">
        <v>229</v>
      </c>
      <c r="D6" s="393" t="s">
        <v>372</v>
      </c>
      <c r="E6" s="393" t="s">
        <v>373</v>
      </c>
      <c r="F6" s="393" t="s">
        <v>367</v>
      </c>
      <c r="G6" s="393" t="s">
        <v>378</v>
      </c>
    </row>
    <row r="7" spans="1:15">
      <c r="A7" s="265">
        <v>31</v>
      </c>
      <c r="B7" s="265" t="s">
        <v>14</v>
      </c>
      <c r="C7" s="266">
        <f>Määräytymistekijät!C8</f>
        <v>684018</v>
      </c>
      <c r="D7" s="267">
        <f>N34</f>
        <v>30.065309488989499</v>
      </c>
      <c r="E7" s="267">
        <f>O34</f>
        <v>41.576622135422603</v>
      </c>
      <c r="F7" s="267">
        <f>(D7+E7)/2</f>
        <v>35.820965812206055</v>
      </c>
      <c r="G7" s="384">
        <f t="shared" ref="G7:G28" si="0">F7/$F$30</f>
        <v>0.87706159719596877</v>
      </c>
      <c r="H7" s="310"/>
      <c r="I7" s="394"/>
      <c r="J7" s="394"/>
      <c r="K7" s="394"/>
      <c r="L7" s="394"/>
      <c r="M7" s="394"/>
      <c r="N7" s="394"/>
      <c r="O7" s="394"/>
    </row>
    <row r="8" spans="1:15">
      <c r="A8" s="265">
        <v>32</v>
      </c>
      <c r="B8" s="265" t="s">
        <v>41</v>
      </c>
      <c r="C8" s="266">
        <f>Määräytymistekijät!C9</f>
        <v>289730</v>
      </c>
      <c r="D8" s="267">
        <f t="shared" ref="D8:E8" si="1">N35</f>
        <v>28.6743907700249</v>
      </c>
      <c r="E8" s="267">
        <f t="shared" si="1"/>
        <v>18.7898739484732</v>
      </c>
      <c r="F8" s="267">
        <f t="shared" ref="F8:F28" si="2">(D8+E8)/2</f>
        <v>23.73213235924905</v>
      </c>
      <c r="G8" s="384">
        <f t="shared" si="0"/>
        <v>0.58107148816117393</v>
      </c>
      <c r="H8" s="310"/>
      <c r="I8" s="394"/>
      <c r="J8" s="394"/>
      <c r="K8" s="321"/>
    </row>
    <row r="9" spans="1:15">
      <c r="A9" s="265">
        <v>33</v>
      </c>
      <c r="B9" s="265" t="s">
        <v>15</v>
      </c>
      <c r="C9" s="266">
        <f>Määräytymistekijät!C10</f>
        <v>502067</v>
      </c>
      <c r="D9" s="267">
        <f t="shared" ref="D9:E9" si="3">N36</f>
        <v>36.819295163821501</v>
      </c>
      <c r="E9" s="267">
        <f t="shared" si="3"/>
        <v>54.277945171865603</v>
      </c>
      <c r="F9" s="267">
        <f t="shared" si="2"/>
        <v>45.548620167843552</v>
      </c>
      <c r="G9" s="384">
        <f t="shared" si="0"/>
        <v>1.1152392083428613</v>
      </c>
      <c r="H9" s="310"/>
      <c r="I9" s="394"/>
      <c r="J9" s="394"/>
      <c r="K9" s="321"/>
    </row>
    <row r="10" spans="1:15">
      <c r="A10" s="265">
        <v>34</v>
      </c>
      <c r="B10" s="265" t="s">
        <v>16</v>
      </c>
      <c r="C10" s="266">
        <f>Määräytymistekijät!C11</f>
        <v>99415</v>
      </c>
      <c r="D10" s="267">
        <f t="shared" ref="D10:E10" si="4">N37</f>
        <v>26.590363867100798</v>
      </c>
      <c r="E10" s="267">
        <f t="shared" si="4"/>
        <v>64.496183312198994</v>
      </c>
      <c r="F10" s="267">
        <f t="shared" si="2"/>
        <v>45.5432735896499</v>
      </c>
      <c r="G10" s="384">
        <f t="shared" si="0"/>
        <v>1.1151082995774573</v>
      </c>
      <c r="H10" s="310"/>
      <c r="I10" s="394"/>
      <c r="J10" s="394"/>
      <c r="K10" s="321"/>
    </row>
    <row r="11" spans="1:15">
      <c r="A11" s="265">
        <v>35</v>
      </c>
      <c r="B11" s="265" t="s">
        <v>17</v>
      </c>
      <c r="C11" s="266">
        <f>Määräytymistekijät!C12</f>
        <v>207070</v>
      </c>
      <c r="D11" s="267">
        <f t="shared" ref="D11:E11" si="5">N38</f>
        <v>16.3164613667313</v>
      </c>
      <c r="E11" s="267">
        <f t="shared" si="5"/>
        <v>33.780169763669001</v>
      </c>
      <c r="F11" s="267">
        <f t="shared" si="2"/>
        <v>25.048315565200149</v>
      </c>
      <c r="G11" s="384">
        <f t="shared" si="0"/>
        <v>0.61329769196779005</v>
      </c>
      <c r="H11" s="310"/>
      <c r="I11" s="394"/>
      <c r="J11" s="394"/>
      <c r="K11" s="321"/>
    </row>
    <row r="12" spans="1:15">
      <c r="A12" s="265">
        <v>2</v>
      </c>
      <c r="B12" s="268" t="s">
        <v>18</v>
      </c>
      <c r="C12" s="266">
        <f>Määräytymistekijät!C13</f>
        <v>494819</v>
      </c>
      <c r="D12" s="267">
        <f t="shared" ref="D12:E12" si="6">N39</f>
        <v>34.108995722303298</v>
      </c>
      <c r="E12" s="267">
        <f t="shared" si="6"/>
        <v>43.573198410124903</v>
      </c>
      <c r="F12" s="267">
        <f t="shared" si="2"/>
        <v>38.841097066214104</v>
      </c>
      <c r="G12" s="384">
        <f t="shared" si="0"/>
        <v>0.95100826729047439</v>
      </c>
      <c r="H12" s="310"/>
      <c r="I12" s="394"/>
      <c r="J12" s="394"/>
      <c r="K12" s="321"/>
    </row>
    <row r="13" spans="1:15">
      <c r="A13" s="265">
        <v>4</v>
      </c>
      <c r="B13" s="268" t="s">
        <v>19</v>
      </c>
      <c r="C13" s="266">
        <f>Määräytymistekijät!C14</f>
        <v>211261</v>
      </c>
      <c r="D13" s="267">
        <f t="shared" ref="D13:E13" si="7">N40</f>
        <v>19.827079815745002</v>
      </c>
      <c r="E13" s="267">
        <f t="shared" si="7"/>
        <v>56.073607076384903</v>
      </c>
      <c r="F13" s="267">
        <f t="shared" si="2"/>
        <v>37.950343446064949</v>
      </c>
      <c r="G13" s="384">
        <f t="shared" si="0"/>
        <v>0.92919853170456512</v>
      </c>
      <c r="H13" s="310"/>
      <c r="I13" s="394"/>
      <c r="J13" s="394"/>
      <c r="K13" s="321"/>
    </row>
    <row r="14" spans="1:15">
      <c r="A14" s="265">
        <v>5</v>
      </c>
      <c r="B14" s="268" t="s">
        <v>20</v>
      </c>
      <c r="C14" s="266">
        <f>Määräytymistekijät!C15</f>
        <v>169455</v>
      </c>
      <c r="D14" s="267">
        <f t="shared" ref="D14:E14" si="8">N41</f>
        <v>43.802496418041599</v>
      </c>
      <c r="E14" s="267">
        <f t="shared" si="8"/>
        <v>48.223401338589397</v>
      </c>
      <c r="F14" s="267">
        <f t="shared" si="2"/>
        <v>46.012948878315498</v>
      </c>
      <c r="G14" s="384">
        <f t="shared" si="0"/>
        <v>1.1266081056128423</v>
      </c>
      <c r="H14" s="310"/>
      <c r="I14" s="394"/>
      <c r="J14" s="394"/>
      <c r="K14" s="321"/>
    </row>
    <row r="15" spans="1:15">
      <c r="A15" s="265">
        <v>6</v>
      </c>
      <c r="B15" s="268" t="s">
        <v>21</v>
      </c>
      <c r="C15" s="266">
        <f>Määräytymistekijät!C16</f>
        <v>545406</v>
      </c>
      <c r="D15" s="267">
        <f t="shared" ref="D15:E15" si="9">N42</f>
        <v>33.090058751847501</v>
      </c>
      <c r="E15" s="267">
        <f t="shared" si="9"/>
        <v>44.757430011329802</v>
      </c>
      <c r="F15" s="267">
        <f t="shared" si="2"/>
        <v>38.923744381588648</v>
      </c>
      <c r="G15" s="384">
        <f t="shared" si="0"/>
        <v>0.9530318527740812</v>
      </c>
      <c r="H15" s="310"/>
      <c r="I15" s="394"/>
      <c r="J15" s="394"/>
      <c r="K15" s="321"/>
    </row>
    <row r="16" spans="1:15">
      <c r="A16" s="265">
        <v>7</v>
      </c>
      <c r="B16" s="268" t="s">
        <v>22</v>
      </c>
      <c r="C16" s="266">
        <f>Määräytymistekijät!C17</f>
        <v>204635</v>
      </c>
      <c r="D16" s="267">
        <f t="shared" ref="D16:E16" si="10">N43</f>
        <v>44.516481954224297</v>
      </c>
      <c r="E16" s="267">
        <f t="shared" si="10"/>
        <v>59.470101040503899</v>
      </c>
      <c r="F16" s="267">
        <f t="shared" si="2"/>
        <v>51.993291497364098</v>
      </c>
      <c r="G16" s="384">
        <f t="shared" si="0"/>
        <v>1.2730343319948958</v>
      </c>
      <c r="H16" s="310"/>
      <c r="I16" s="394"/>
      <c r="J16" s="394"/>
      <c r="K16" s="321"/>
    </row>
    <row r="17" spans="1:16">
      <c r="A17" s="265">
        <v>8</v>
      </c>
      <c r="B17" s="268" t="s">
        <v>23</v>
      </c>
      <c r="C17" s="266">
        <f>Määräytymistekijät!C18</f>
        <v>157442</v>
      </c>
      <c r="D17" s="267">
        <f t="shared" ref="D17:E17" si="11">N44</f>
        <v>38.494283387075598</v>
      </c>
      <c r="E17" s="267">
        <f t="shared" si="11"/>
        <v>29.542859216289401</v>
      </c>
      <c r="F17" s="267">
        <f t="shared" si="2"/>
        <v>34.018571301682499</v>
      </c>
      <c r="G17" s="384">
        <f t="shared" si="0"/>
        <v>0.83293070981385442</v>
      </c>
      <c r="H17" s="310"/>
      <c r="I17" s="394"/>
      <c r="J17" s="394"/>
      <c r="K17" s="321"/>
    </row>
    <row r="18" spans="1:16">
      <c r="A18" s="265">
        <v>9</v>
      </c>
      <c r="B18" s="268" t="s">
        <v>24</v>
      </c>
      <c r="C18" s="266">
        <f>Määräytymistekijät!C19</f>
        <v>125083</v>
      </c>
      <c r="D18" s="267">
        <f t="shared" ref="D18:E18" si="12">N45</f>
        <v>38.194724732965298</v>
      </c>
      <c r="E18" s="267">
        <f t="shared" si="12"/>
        <v>44.527469324062899</v>
      </c>
      <c r="F18" s="267">
        <f t="shared" si="2"/>
        <v>41.361097028514095</v>
      </c>
      <c r="G18" s="384">
        <f t="shared" si="0"/>
        <v>1.0127094286565781</v>
      </c>
      <c r="H18" s="310"/>
      <c r="I18" s="394"/>
      <c r="J18" s="394"/>
      <c r="K18" s="321"/>
    </row>
    <row r="19" spans="1:16">
      <c r="A19" s="265">
        <v>10</v>
      </c>
      <c r="B19" s="268" t="s">
        <v>25</v>
      </c>
      <c r="C19" s="266">
        <f>Määräytymistekijät!C20</f>
        <v>129376</v>
      </c>
      <c r="D19" s="267">
        <f t="shared" ref="D19:E19" si="13">N46</f>
        <v>50.753777557863899</v>
      </c>
      <c r="E19" s="267">
        <f t="shared" si="13"/>
        <v>58.3977456459683</v>
      </c>
      <c r="F19" s="267">
        <f t="shared" si="2"/>
        <v>54.575761601916099</v>
      </c>
      <c r="G19" s="384">
        <f t="shared" si="0"/>
        <v>1.3362650490694596</v>
      </c>
      <c r="H19" s="310"/>
      <c r="I19" s="394"/>
      <c r="J19" s="394"/>
      <c r="K19" s="321"/>
    </row>
    <row r="20" spans="1:16">
      <c r="A20" s="265">
        <v>11</v>
      </c>
      <c r="B20" s="268" t="s">
        <v>26</v>
      </c>
      <c r="C20" s="266">
        <f>Määräytymistekijät!C21</f>
        <v>248815</v>
      </c>
      <c r="D20" s="267">
        <f t="shared" ref="D20:E20" si="14">N47</f>
        <v>26.141216237175701</v>
      </c>
      <c r="E20" s="267">
        <f t="shared" si="14"/>
        <v>82.3583777192095</v>
      </c>
      <c r="F20" s="267">
        <f t="shared" si="2"/>
        <v>54.249796978192599</v>
      </c>
      <c r="G20" s="384">
        <f t="shared" si="0"/>
        <v>1.3282839394865655</v>
      </c>
      <c r="H20" s="310"/>
      <c r="I20" s="394"/>
      <c r="J20" s="394"/>
      <c r="K20" s="321"/>
    </row>
    <row r="21" spans="1:16">
      <c r="A21" s="265">
        <v>12</v>
      </c>
      <c r="B21" s="268" t="s">
        <v>27</v>
      </c>
      <c r="C21" s="266">
        <f>Määräytymistekijät!C22</f>
        <v>162091</v>
      </c>
      <c r="D21" s="267">
        <f t="shared" ref="D21:E21" si="15">N48</f>
        <v>28.2958731318279</v>
      </c>
      <c r="E21" s="267">
        <f t="shared" si="15"/>
        <v>44.291853226126399</v>
      </c>
      <c r="F21" s="267">
        <f t="shared" si="2"/>
        <v>36.293863178977148</v>
      </c>
      <c r="G21" s="384">
        <f t="shared" si="0"/>
        <v>0.88864029448694726</v>
      </c>
      <c r="H21" s="310"/>
      <c r="I21" s="394"/>
      <c r="J21" s="394"/>
      <c r="K21" s="321"/>
    </row>
    <row r="22" spans="1:16">
      <c r="A22" s="265">
        <v>13</v>
      </c>
      <c r="B22" s="268" t="s">
        <v>28</v>
      </c>
      <c r="C22" s="266">
        <f>Määräytymistekijät!C23</f>
        <v>274112</v>
      </c>
      <c r="D22" s="267">
        <f t="shared" ref="D22:E22" si="16">N49</f>
        <v>27.637705954950899</v>
      </c>
      <c r="E22" s="267">
        <f t="shared" si="16"/>
        <v>50.338745603364899</v>
      </c>
      <c r="F22" s="267">
        <f t="shared" si="2"/>
        <v>38.988225779157901</v>
      </c>
      <c r="G22" s="384">
        <f t="shared" si="0"/>
        <v>0.95461065324076888</v>
      </c>
      <c r="H22" s="310"/>
      <c r="I22" s="394"/>
      <c r="J22" s="394"/>
      <c r="K22" s="321"/>
    </row>
    <row r="23" spans="1:16">
      <c r="A23" s="265">
        <v>14</v>
      </c>
      <c r="B23" s="268" t="s">
        <v>29</v>
      </c>
      <c r="C23" s="266">
        <f>Määräytymistekijät!C24</f>
        <v>189929</v>
      </c>
      <c r="D23" s="267">
        <f t="shared" ref="D23:E23" si="17">N50</f>
        <v>84.642042994376396</v>
      </c>
      <c r="E23" s="267">
        <f t="shared" si="17"/>
        <v>56.795943259985002</v>
      </c>
      <c r="F23" s="267">
        <f t="shared" si="2"/>
        <v>70.718993127180696</v>
      </c>
      <c r="G23" s="384">
        <f t="shared" si="0"/>
        <v>1.7315254253440802</v>
      </c>
      <c r="H23" s="310"/>
      <c r="I23" s="394"/>
      <c r="J23" s="394"/>
      <c r="K23" s="321"/>
    </row>
    <row r="24" spans="1:16">
      <c r="A24" s="265">
        <v>15</v>
      </c>
      <c r="B24" s="268" t="s">
        <v>30</v>
      </c>
      <c r="C24" s="266">
        <f>Määräytymistekijät!C25</f>
        <v>178749</v>
      </c>
      <c r="D24" s="267">
        <f t="shared" ref="D24:E24" si="18">N51</f>
        <v>12.959588411011699</v>
      </c>
      <c r="E24" s="267">
        <f t="shared" si="18"/>
        <v>70.199155990550196</v>
      </c>
      <c r="F24" s="267">
        <f t="shared" si="2"/>
        <v>41.579372200780945</v>
      </c>
      <c r="G24" s="384">
        <f t="shared" si="0"/>
        <v>1.0180538063659963</v>
      </c>
      <c r="H24" s="310"/>
      <c r="I24" s="394"/>
      <c r="J24" s="394"/>
      <c r="K24" s="321"/>
    </row>
    <row r="25" spans="1:16">
      <c r="A25" s="265">
        <v>16</v>
      </c>
      <c r="B25" s="268" t="s">
        <v>31</v>
      </c>
      <c r="C25" s="266">
        <f>Määräytymistekijät!C26</f>
        <v>67723</v>
      </c>
      <c r="D25" s="267">
        <f t="shared" ref="D25:E25" si="19">N52</f>
        <v>17.492404187838599</v>
      </c>
      <c r="E25" s="267">
        <f t="shared" si="19"/>
        <v>42.846841842422599</v>
      </c>
      <c r="F25" s="267">
        <f t="shared" si="2"/>
        <v>30.169623015130597</v>
      </c>
      <c r="G25" s="384">
        <f t="shared" si="0"/>
        <v>0.73869079597608733</v>
      </c>
      <c r="H25" s="310"/>
      <c r="I25" s="394"/>
      <c r="J25" s="394"/>
      <c r="K25" s="321"/>
    </row>
    <row r="26" spans="1:16">
      <c r="A26" s="265">
        <v>17</v>
      </c>
      <c r="B26" s="268" t="s">
        <v>32</v>
      </c>
      <c r="C26" s="266">
        <f>Määräytymistekijät!C27</f>
        <v>418331</v>
      </c>
      <c r="D26" s="267">
        <f t="shared" ref="D26:E26" si="20">N53</f>
        <v>15.775811827259099</v>
      </c>
      <c r="E26" s="267">
        <f t="shared" si="20"/>
        <v>59.144638078804398</v>
      </c>
      <c r="F26" s="267">
        <f t="shared" si="2"/>
        <v>37.460224953031748</v>
      </c>
      <c r="G26" s="384">
        <f t="shared" si="0"/>
        <v>0.91719818222854665</v>
      </c>
      <c r="H26" s="310"/>
      <c r="I26" s="394"/>
      <c r="J26" s="394"/>
      <c r="K26" s="321"/>
    </row>
    <row r="27" spans="1:16">
      <c r="A27" s="265">
        <v>18</v>
      </c>
      <c r="B27" s="268" t="s">
        <v>33</v>
      </c>
      <c r="C27" s="266">
        <f>Määräytymistekijät!C28</f>
        <v>69639</v>
      </c>
      <c r="D27" s="267">
        <f t="shared" ref="D27:E27" si="21">N54</f>
        <v>35.009198260667297</v>
      </c>
      <c r="E27" s="267">
        <f t="shared" si="21"/>
        <v>62.156871805876897</v>
      </c>
      <c r="F27" s="267">
        <f t="shared" si="2"/>
        <v>48.583035033272097</v>
      </c>
      <c r="G27" s="384">
        <f t="shared" si="0"/>
        <v>1.1895356067811493</v>
      </c>
      <c r="H27" s="310"/>
      <c r="I27" s="394"/>
      <c r="J27" s="394"/>
      <c r="K27" s="321"/>
    </row>
    <row r="28" spans="1:16">
      <c r="A28" s="265">
        <v>19</v>
      </c>
      <c r="B28" s="268" t="s">
        <v>34</v>
      </c>
      <c r="C28" s="266">
        <f>Määräytymistekijät!C29</f>
        <v>176151</v>
      </c>
      <c r="D28" s="267">
        <f t="shared" ref="D28:E28" si="22">N55</f>
        <v>15.7363855994265</v>
      </c>
      <c r="E28" s="267">
        <f t="shared" si="22"/>
        <v>80.193787463218996</v>
      </c>
      <c r="F28" s="267">
        <f t="shared" si="2"/>
        <v>47.965086531322747</v>
      </c>
      <c r="G28" s="384">
        <f t="shared" si="0"/>
        <v>1.1744053921759396</v>
      </c>
      <c r="H28" s="310"/>
      <c r="I28" s="394"/>
      <c r="J28" s="394"/>
      <c r="K28" s="321"/>
    </row>
    <row r="29" spans="1:16">
      <c r="A29" s="268"/>
      <c r="B29" s="269" t="s">
        <v>223</v>
      </c>
      <c r="C29" s="270">
        <f>SUM(C7:C28)</f>
        <v>5605317</v>
      </c>
      <c r="D29" s="270"/>
      <c r="E29" s="389" t="s">
        <v>380</v>
      </c>
      <c r="F29" s="390">
        <f>AVERAGE(F7:F28)</f>
        <v>42.062653795129798</v>
      </c>
      <c r="G29" s="384">
        <f>F43/$F$43</f>
        <v>1</v>
      </c>
      <c r="H29" s="312"/>
    </row>
    <row r="30" spans="1:16">
      <c r="A30" s="386"/>
      <c r="B30" s="387"/>
      <c r="C30" s="388"/>
      <c r="D30" s="385"/>
      <c r="E30" s="389" t="s">
        <v>381</v>
      </c>
      <c r="F30" s="389">
        <f>SUMPRODUCT(F7:F28,C7:C28)/C29</f>
        <v>40.842018310604807</v>
      </c>
      <c r="G30" s="389"/>
      <c r="H30" s="312"/>
    </row>
    <row r="31" spans="1:16" s="128" customFormat="1">
      <c r="A31" s="262"/>
      <c r="B31" s="262"/>
      <c r="C31" s="322"/>
      <c r="D31" s="322"/>
      <c r="E31" s="323"/>
      <c r="F31" s="323"/>
      <c r="G31" s="323"/>
      <c r="H31" s="323"/>
      <c r="I31" s="323"/>
      <c r="J31" s="323"/>
      <c r="K31" s="323"/>
      <c r="L31" s="323"/>
      <c r="M31" s="323"/>
      <c r="N31" s="323"/>
      <c r="O31" s="323"/>
      <c r="P31" s="323"/>
    </row>
    <row r="32" spans="1:16" ht="17" thickBot="1">
      <c r="A32" s="347" t="s">
        <v>430</v>
      </c>
      <c r="B32" s="347"/>
      <c r="C32" s="347"/>
      <c r="D32" s="347"/>
      <c r="E32" s="347"/>
      <c r="F32" s="347"/>
      <c r="G32" s="347"/>
      <c r="H32" s="347"/>
      <c r="I32" s="347"/>
      <c r="J32" s="347"/>
      <c r="K32" s="347"/>
      <c r="L32" s="347"/>
      <c r="M32" s="347"/>
      <c r="N32" s="347"/>
      <c r="O32" s="347"/>
      <c r="P32" s="347"/>
    </row>
    <row r="33" spans="1:16" ht="31.5" thickTop="1">
      <c r="A33" s="271" t="s">
        <v>6</v>
      </c>
      <c r="B33" s="271" t="s">
        <v>7</v>
      </c>
      <c r="C33" s="362" t="s">
        <v>368</v>
      </c>
      <c r="D33" s="363" t="s">
        <v>369</v>
      </c>
      <c r="E33" s="363" t="s">
        <v>48</v>
      </c>
      <c r="F33" s="363" t="s">
        <v>370</v>
      </c>
      <c r="G33" s="363" t="s">
        <v>224</v>
      </c>
      <c r="H33" s="366" t="s">
        <v>371</v>
      </c>
      <c r="I33" s="367" t="s">
        <v>84</v>
      </c>
      <c r="J33" s="368" t="s">
        <v>225</v>
      </c>
      <c r="K33" s="368" t="s">
        <v>226</v>
      </c>
      <c r="L33" s="368" t="s">
        <v>227</v>
      </c>
      <c r="M33" s="369" t="s">
        <v>228</v>
      </c>
      <c r="N33" s="370" t="s">
        <v>372</v>
      </c>
      <c r="O33" s="371" t="s">
        <v>373</v>
      </c>
      <c r="P33" s="381" t="s">
        <v>374</v>
      </c>
    </row>
    <row r="34" spans="1:16">
      <c r="A34" s="265">
        <v>31</v>
      </c>
      <c r="B34" s="265" t="s">
        <v>14</v>
      </c>
      <c r="C34" s="358">
        <v>57.2176938843605</v>
      </c>
      <c r="D34" s="272">
        <v>8.2101643026827205</v>
      </c>
      <c r="E34" s="272">
        <v>61.5581751951431</v>
      </c>
      <c r="F34" s="272">
        <v>4.6334943629585696</v>
      </c>
      <c r="G34" s="272">
        <v>48.7723291887919</v>
      </c>
      <c r="H34" s="359">
        <v>0</v>
      </c>
      <c r="I34" s="358">
        <v>42.774654102112102</v>
      </c>
      <c r="J34" s="272">
        <v>37.949979097761698</v>
      </c>
      <c r="K34" s="272">
        <v>35.404938995467496</v>
      </c>
      <c r="L34" s="272">
        <v>32.388097554033202</v>
      </c>
      <c r="M34" s="359">
        <v>59.365440927738497</v>
      </c>
      <c r="N34" s="364">
        <v>30.065309488989499</v>
      </c>
      <c r="O34" s="364">
        <v>41.576622135422603</v>
      </c>
      <c r="P34" s="382">
        <v>35.820965812205998</v>
      </c>
    </row>
    <row r="35" spans="1:16">
      <c r="A35" s="265">
        <v>32</v>
      </c>
      <c r="B35" s="265" t="s">
        <v>41</v>
      </c>
      <c r="C35" s="358">
        <v>20.379326695116202</v>
      </c>
      <c r="D35" s="272">
        <v>0.221837870356445</v>
      </c>
      <c r="E35" s="272">
        <v>53.776033665345601</v>
      </c>
      <c r="F35" s="272">
        <v>25.015253203172701</v>
      </c>
      <c r="G35" s="272">
        <v>47.775150293926799</v>
      </c>
      <c r="H35" s="359">
        <v>24.8787428922316</v>
      </c>
      <c r="I35" s="358">
        <v>23.976713915280399</v>
      </c>
      <c r="J35" s="272">
        <v>59.365042852574</v>
      </c>
      <c r="K35" s="272">
        <v>2.3862189689183602</v>
      </c>
      <c r="L35" s="272">
        <v>8.2213940055931296</v>
      </c>
      <c r="M35" s="359">
        <v>0</v>
      </c>
      <c r="N35" s="364">
        <v>28.6743907700249</v>
      </c>
      <c r="O35" s="364">
        <v>18.7898739484732</v>
      </c>
      <c r="P35" s="358">
        <v>23.732132359249</v>
      </c>
    </row>
    <row r="36" spans="1:16">
      <c r="A36" s="265">
        <v>33</v>
      </c>
      <c r="B36" s="265" t="s">
        <v>15</v>
      </c>
      <c r="C36" s="358">
        <v>6.9164018862208003</v>
      </c>
      <c r="D36" s="272">
        <v>1.09350384579742</v>
      </c>
      <c r="E36" s="272">
        <v>92.595987687360306</v>
      </c>
      <c r="F36" s="272">
        <v>58.909431861770898</v>
      </c>
      <c r="G36" s="272">
        <v>53.7236738485731</v>
      </c>
      <c r="H36" s="359">
        <v>7.6767718532067102</v>
      </c>
      <c r="I36" s="358">
        <v>68.825237823369804</v>
      </c>
      <c r="J36" s="272">
        <v>53.493322214237303</v>
      </c>
      <c r="K36" s="272">
        <v>42.144589425613198</v>
      </c>
      <c r="L36" s="272">
        <v>26.3968241490617</v>
      </c>
      <c r="M36" s="359">
        <v>80.529752247046005</v>
      </c>
      <c r="N36" s="364">
        <v>36.819295163821501</v>
      </c>
      <c r="O36" s="364">
        <v>54.277945171865603</v>
      </c>
      <c r="P36" s="358">
        <v>45.548620167843602</v>
      </c>
    </row>
    <row r="37" spans="1:16">
      <c r="A37" s="265">
        <v>34</v>
      </c>
      <c r="B37" s="265" t="s">
        <v>16</v>
      </c>
      <c r="C37" s="358">
        <v>19.3962793962794</v>
      </c>
      <c r="D37" s="272">
        <v>2.31565520286513</v>
      </c>
      <c r="E37" s="272">
        <v>54.3077472499441</v>
      </c>
      <c r="F37" s="272">
        <v>22.833290870203601</v>
      </c>
      <c r="G37" s="272">
        <v>31.5213030570483</v>
      </c>
      <c r="H37" s="359">
        <v>29.167907426264399</v>
      </c>
      <c r="I37" s="358">
        <v>75.806176771162995</v>
      </c>
      <c r="J37" s="272">
        <v>87.323554284025704</v>
      </c>
      <c r="K37" s="272">
        <v>0</v>
      </c>
      <c r="L37" s="272">
        <v>59.3511855058061</v>
      </c>
      <c r="M37" s="359">
        <v>100</v>
      </c>
      <c r="N37" s="364">
        <v>26.590363867100798</v>
      </c>
      <c r="O37" s="364">
        <v>64.496183312198994</v>
      </c>
      <c r="P37" s="358">
        <v>45.5432735896499</v>
      </c>
    </row>
    <row r="38" spans="1:16">
      <c r="A38" s="265">
        <v>35</v>
      </c>
      <c r="B38" s="265" t="s">
        <v>17</v>
      </c>
      <c r="C38" s="358">
        <v>1.7431296843061499</v>
      </c>
      <c r="D38" s="272">
        <v>0</v>
      </c>
      <c r="E38" s="272">
        <v>21.9734213692191</v>
      </c>
      <c r="F38" s="272">
        <v>19.662590606672801</v>
      </c>
      <c r="G38" s="272">
        <v>45.9385587791473</v>
      </c>
      <c r="H38" s="359">
        <v>8.5810677610421795</v>
      </c>
      <c r="I38" s="358">
        <v>63.560992597868299</v>
      </c>
      <c r="J38" s="272">
        <v>29.637855809078602</v>
      </c>
      <c r="K38" s="272">
        <v>7.68198200687549</v>
      </c>
      <c r="L38" s="272">
        <v>37.401638278879602</v>
      </c>
      <c r="M38" s="359">
        <v>30.618380125642901</v>
      </c>
      <c r="N38" s="364">
        <v>16.3164613667313</v>
      </c>
      <c r="O38" s="364">
        <v>33.780169763669001</v>
      </c>
      <c r="P38" s="358">
        <v>25.048315565200099</v>
      </c>
    </row>
    <row r="39" spans="1:16">
      <c r="A39" s="265">
        <v>2</v>
      </c>
      <c r="B39" s="265" t="s">
        <v>18</v>
      </c>
      <c r="C39" s="358">
        <v>1.5196515196515199</v>
      </c>
      <c r="D39" s="272">
        <v>0.43418535053721202</v>
      </c>
      <c r="E39" s="272">
        <v>39.438378573329999</v>
      </c>
      <c r="F39" s="272">
        <v>85.944602225646193</v>
      </c>
      <c r="G39" s="272">
        <v>62.593157123658798</v>
      </c>
      <c r="H39" s="359">
        <v>14.7239995409962</v>
      </c>
      <c r="I39" s="358">
        <v>76.307355177777595</v>
      </c>
      <c r="J39" s="272">
        <v>28.784337495313402</v>
      </c>
      <c r="K39" s="272">
        <v>57.3724112220658</v>
      </c>
      <c r="L39" s="272">
        <v>26.669661292222202</v>
      </c>
      <c r="M39" s="359">
        <v>28.732226863245501</v>
      </c>
      <c r="N39" s="364">
        <v>34.108995722303298</v>
      </c>
      <c r="O39" s="364">
        <v>43.573198410124903</v>
      </c>
      <c r="P39" s="358">
        <v>38.841097066214097</v>
      </c>
    </row>
    <row r="40" spans="1:16">
      <c r="A40" s="265">
        <v>4</v>
      </c>
      <c r="B40" s="265" t="s">
        <v>19</v>
      </c>
      <c r="C40" s="358">
        <v>1.5196515196515199</v>
      </c>
      <c r="D40" s="272">
        <v>0</v>
      </c>
      <c r="E40" s="272">
        <v>21.054612091878099</v>
      </c>
      <c r="F40" s="272">
        <v>8.1464146944542595</v>
      </c>
      <c r="G40" s="272">
        <v>66.833415543295601</v>
      </c>
      <c r="H40" s="359">
        <v>21.4083850451904</v>
      </c>
      <c r="I40" s="358">
        <v>51.619690740602103</v>
      </c>
      <c r="J40" s="272">
        <v>57.725638101757497</v>
      </c>
      <c r="K40" s="272">
        <v>41.389871157776902</v>
      </c>
      <c r="L40" s="272">
        <v>63.695124456889303</v>
      </c>
      <c r="M40" s="359">
        <v>65.937710924898695</v>
      </c>
      <c r="N40" s="364">
        <v>19.827079815745002</v>
      </c>
      <c r="O40" s="364">
        <v>56.073607076384903</v>
      </c>
      <c r="P40" s="358">
        <v>37.950343446064899</v>
      </c>
    </row>
    <row r="41" spans="1:16">
      <c r="A41" s="265">
        <v>5</v>
      </c>
      <c r="B41" s="265" t="s">
        <v>20</v>
      </c>
      <c r="C41" s="358">
        <v>37.535392535392504</v>
      </c>
      <c r="D41" s="272">
        <v>0</v>
      </c>
      <c r="E41" s="272">
        <v>94.681729884852899</v>
      </c>
      <c r="F41" s="272">
        <v>90.564931256923202</v>
      </c>
      <c r="G41" s="272">
        <v>0</v>
      </c>
      <c r="H41" s="359">
        <v>40.032924831080997</v>
      </c>
      <c r="I41" s="358">
        <v>41.576416245995802</v>
      </c>
      <c r="J41" s="272">
        <v>41.849031568136098</v>
      </c>
      <c r="K41" s="272">
        <v>22.3395842272995</v>
      </c>
      <c r="L41" s="272">
        <v>61.9919742620121</v>
      </c>
      <c r="M41" s="359">
        <v>73.360000389503597</v>
      </c>
      <c r="N41" s="364">
        <v>43.802496418041599</v>
      </c>
      <c r="O41" s="364">
        <v>48.223401338589397</v>
      </c>
      <c r="P41" s="358">
        <v>46.012948878315498</v>
      </c>
    </row>
    <row r="42" spans="1:16">
      <c r="A42" s="265">
        <v>6</v>
      </c>
      <c r="B42" s="265" t="s">
        <v>21</v>
      </c>
      <c r="C42" s="358">
        <v>11.0160612019348</v>
      </c>
      <c r="D42" s="272">
        <v>1.11893416779271</v>
      </c>
      <c r="E42" s="272">
        <v>76.827947172578504</v>
      </c>
      <c r="F42" s="272">
        <v>0.92183998214014595</v>
      </c>
      <c r="G42" s="272">
        <v>80.720413033624297</v>
      </c>
      <c r="H42" s="359">
        <v>27.935156953014399</v>
      </c>
      <c r="I42" s="358">
        <v>52.108200782788401</v>
      </c>
      <c r="J42" s="272">
        <v>48.469169363109302</v>
      </c>
      <c r="K42" s="272">
        <v>12.5411890860653</v>
      </c>
      <c r="L42" s="272">
        <v>42.295913501741701</v>
      </c>
      <c r="M42" s="359">
        <v>68.372677322944298</v>
      </c>
      <c r="N42" s="364">
        <v>33.090058751847501</v>
      </c>
      <c r="O42" s="364">
        <v>44.757430011329802</v>
      </c>
      <c r="P42" s="358">
        <v>38.923744381588598</v>
      </c>
    </row>
    <row r="43" spans="1:16">
      <c r="A43" s="265">
        <v>7</v>
      </c>
      <c r="B43" s="265" t="s">
        <v>22</v>
      </c>
      <c r="C43" s="358">
        <v>37.9765340930389</v>
      </c>
      <c r="D43" s="272">
        <v>8.0563260081075292</v>
      </c>
      <c r="E43" s="272">
        <v>50.463215603851602</v>
      </c>
      <c r="F43" s="272">
        <v>73.167659264754306</v>
      </c>
      <c r="G43" s="272">
        <v>44.537173545143098</v>
      </c>
      <c r="H43" s="359">
        <v>52.897983210450597</v>
      </c>
      <c r="I43" s="358">
        <v>49.456884860220804</v>
      </c>
      <c r="J43" s="272">
        <v>41.637219885266497</v>
      </c>
      <c r="K43" s="272">
        <v>70.1959173244271</v>
      </c>
      <c r="L43" s="272">
        <v>58.297048239948602</v>
      </c>
      <c r="M43" s="359">
        <v>77.763434892656704</v>
      </c>
      <c r="N43" s="364">
        <v>44.516481954224297</v>
      </c>
      <c r="O43" s="364">
        <v>59.470101040503899</v>
      </c>
      <c r="P43" s="358">
        <v>51.993291497364098</v>
      </c>
    </row>
    <row r="44" spans="1:16">
      <c r="A44" s="265">
        <v>8</v>
      </c>
      <c r="B44" s="265" t="s">
        <v>23</v>
      </c>
      <c r="C44" s="358">
        <v>50.574002574002598</v>
      </c>
      <c r="D44" s="272">
        <v>14.434250764526</v>
      </c>
      <c r="E44" s="272">
        <v>46.544700249183499</v>
      </c>
      <c r="F44" s="272">
        <v>48.334557036638699</v>
      </c>
      <c r="G44" s="272">
        <v>51.561230513844301</v>
      </c>
      <c r="H44" s="359">
        <v>19.516959184258599</v>
      </c>
      <c r="I44" s="358">
        <v>0</v>
      </c>
      <c r="J44" s="272">
        <v>0</v>
      </c>
      <c r="K44" s="272">
        <v>40.3335186952188</v>
      </c>
      <c r="L44" s="272">
        <v>42.699245828816601</v>
      </c>
      <c r="M44" s="359">
        <v>64.681531557411901</v>
      </c>
      <c r="N44" s="364">
        <v>38.494283387075598</v>
      </c>
      <c r="O44" s="364">
        <v>29.542859216289401</v>
      </c>
      <c r="P44" s="358">
        <v>34.018571301682499</v>
      </c>
    </row>
    <row r="45" spans="1:16">
      <c r="A45" s="265">
        <v>9</v>
      </c>
      <c r="B45" s="265" t="s">
        <v>24</v>
      </c>
      <c r="C45" s="358">
        <v>18.965250965250998</v>
      </c>
      <c r="D45" s="272">
        <v>1.56894030049196</v>
      </c>
      <c r="E45" s="272">
        <v>6.8254846346780402</v>
      </c>
      <c r="F45" s="272">
        <v>100</v>
      </c>
      <c r="G45" s="272">
        <v>68.915418209327299</v>
      </c>
      <c r="H45" s="359">
        <v>32.893254288043799</v>
      </c>
      <c r="I45" s="358">
        <v>38.031537092634203</v>
      </c>
      <c r="J45" s="272">
        <v>40.241401762284497</v>
      </c>
      <c r="K45" s="272">
        <v>28.2086878561012</v>
      </c>
      <c r="L45" s="272">
        <v>56.773957828300702</v>
      </c>
      <c r="M45" s="359">
        <v>59.381762080993902</v>
      </c>
      <c r="N45" s="364">
        <v>38.194724732965298</v>
      </c>
      <c r="O45" s="364">
        <v>44.527469324062899</v>
      </c>
      <c r="P45" s="358">
        <v>41.361097028514102</v>
      </c>
    </row>
    <row r="46" spans="1:16">
      <c r="A46" s="265">
        <v>10</v>
      </c>
      <c r="B46" s="265" t="s">
        <v>25</v>
      </c>
      <c r="C46" s="358">
        <v>10.1599558742416</v>
      </c>
      <c r="D46" s="272">
        <v>10.2559150169</v>
      </c>
      <c r="E46" s="272">
        <v>43.924152597749803</v>
      </c>
      <c r="F46" s="272">
        <v>57.2429334247783</v>
      </c>
      <c r="G46" s="272">
        <v>82.9397084335139</v>
      </c>
      <c r="H46" s="359">
        <v>100</v>
      </c>
      <c r="I46" s="358">
        <v>56.815387683387797</v>
      </c>
      <c r="J46" s="272">
        <v>46.297943477435602</v>
      </c>
      <c r="K46" s="272">
        <v>32.144715502404601</v>
      </c>
      <c r="L46" s="272">
        <v>73.1571601260585</v>
      </c>
      <c r="M46" s="359">
        <v>83.573521440555098</v>
      </c>
      <c r="N46" s="364">
        <v>50.753777557863899</v>
      </c>
      <c r="O46" s="364">
        <v>58.3977456459683</v>
      </c>
      <c r="P46" s="358">
        <v>54.575761601916099</v>
      </c>
    </row>
    <row r="47" spans="1:16">
      <c r="A47" s="265">
        <v>11</v>
      </c>
      <c r="B47" s="265" t="s">
        <v>26</v>
      </c>
      <c r="C47" s="358">
        <v>0</v>
      </c>
      <c r="D47" s="272">
        <v>0</v>
      </c>
      <c r="E47" s="272">
        <v>7.5735516780102001</v>
      </c>
      <c r="F47" s="272">
        <v>24.197468602865399</v>
      </c>
      <c r="G47" s="272">
        <v>100</v>
      </c>
      <c r="H47" s="359">
        <v>25.0762771421788</v>
      </c>
      <c r="I47" s="358">
        <v>100</v>
      </c>
      <c r="J47" s="272">
        <v>82.685238252189606</v>
      </c>
      <c r="K47" s="272">
        <v>65.998296973776604</v>
      </c>
      <c r="L47" s="272">
        <v>86.539698856150693</v>
      </c>
      <c r="M47" s="359">
        <v>76.568654513930895</v>
      </c>
      <c r="N47" s="364">
        <v>26.141216237175701</v>
      </c>
      <c r="O47" s="364">
        <v>82.3583777192095</v>
      </c>
      <c r="P47" s="358">
        <v>54.249796978192599</v>
      </c>
    </row>
    <row r="48" spans="1:16">
      <c r="A48" s="265">
        <v>12</v>
      </c>
      <c r="B48" s="265" t="s">
        <v>27</v>
      </c>
      <c r="C48" s="358">
        <v>6.3499724214009898</v>
      </c>
      <c r="D48" s="272">
        <v>3.0071355759429199</v>
      </c>
      <c r="E48" s="272">
        <v>21.7198900046448</v>
      </c>
      <c r="F48" s="272">
        <v>10.067114093959701</v>
      </c>
      <c r="G48" s="272">
        <v>84.4537585366907</v>
      </c>
      <c r="H48" s="359">
        <v>44.177368158328299</v>
      </c>
      <c r="I48" s="358">
        <v>47.359480443080699</v>
      </c>
      <c r="J48" s="272">
        <v>13.3046282494096</v>
      </c>
      <c r="K48" s="272">
        <v>39.455584368290602</v>
      </c>
      <c r="L48" s="272">
        <v>61.935441992006297</v>
      </c>
      <c r="M48" s="359">
        <v>59.404131077844703</v>
      </c>
      <c r="N48" s="364">
        <v>28.2958731318279</v>
      </c>
      <c r="O48" s="364">
        <v>44.291853226126399</v>
      </c>
      <c r="P48" s="358">
        <v>36.293863178977098</v>
      </c>
    </row>
    <row r="49" spans="1:16">
      <c r="A49" s="265">
        <v>13</v>
      </c>
      <c r="B49" s="265" t="s">
        <v>28</v>
      </c>
      <c r="C49" s="358">
        <v>13.3558105389091</v>
      </c>
      <c r="D49" s="272">
        <v>0</v>
      </c>
      <c r="E49" s="272">
        <v>47.286638140445497</v>
      </c>
      <c r="F49" s="272">
        <v>25.856102050338102</v>
      </c>
      <c r="G49" s="272">
        <v>54.297137437262101</v>
      </c>
      <c r="H49" s="359">
        <v>25.030547562750598</v>
      </c>
      <c r="I49" s="358">
        <v>44.7830571643835</v>
      </c>
      <c r="J49" s="272">
        <v>42.970955190004702</v>
      </c>
      <c r="K49" s="272">
        <v>19.611547748562099</v>
      </c>
      <c r="L49" s="272">
        <v>100</v>
      </c>
      <c r="M49" s="359">
        <v>44.328167913874601</v>
      </c>
      <c r="N49" s="364">
        <v>27.637705954950899</v>
      </c>
      <c r="O49" s="364">
        <v>50.338745603364899</v>
      </c>
      <c r="P49" s="358">
        <v>38.988225779157901</v>
      </c>
    </row>
    <row r="50" spans="1:16">
      <c r="A50" s="265">
        <v>14</v>
      </c>
      <c r="B50" s="265" t="s">
        <v>29</v>
      </c>
      <c r="C50" s="358">
        <v>100</v>
      </c>
      <c r="D50" s="272">
        <v>100</v>
      </c>
      <c r="E50" s="272">
        <v>100</v>
      </c>
      <c r="F50" s="272">
        <v>73.661389097630703</v>
      </c>
      <c r="G50" s="272">
        <v>67.835929486413804</v>
      </c>
      <c r="H50" s="359">
        <v>66.3549393822139</v>
      </c>
      <c r="I50" s="358">
        <v>57.681493634123001</v>
      </c>
      <c r="J50" s="272">
        <v>69.3557120747612</v>
      </c>
      <c r="K50" s="272">
        <v>58.829139033124903</v>
      </c>
      <c r="L50" s="272">
        <v>24.948964295001499</v>
      </c>
      <c r="M50" s="359">
        <v>73.164407262914494</v>
      </c>
      <c r="N50" s="364">
        <v>84.642042994376396</v>
      </c>
      <c r="O50" s="364">
        <v>56.795943259985002</v>
      </c>
      <c r="P50" s="358">
        <v>70.718993127180696</v>
      </c>
    </row>
    <row r="51" spans="1:16">
      <c r="A51" s="265">
        <v>15</v>
      </c>
      <c r="B51" s="265" t="s">
        <v>30</v>
      </c>
      <c r="C51" s="358">
        <v>0.51312908455765605</v>
      </c>
      <c r="D51" s="272">
        <v>0</v>
      </c>
      <c r="E51" s="272">
        <v>0</v>
      </c>
      <c r="F51" s="272">
        <v>0</v>
      </c>
      <c r="G51" s="272">
        <v>43.421230425120299</v>
      </c>
      <c r="H51" s="359">
        <v>33.823170956392197</v>
      </c>
      <c r="I51" s="358">
        <v>65.479953603135996</v>
      </c>
      <c r="J51" s="272">
        <v>94.670627256641495</v>
      </c>
      <c r="K51" s="272">
        <v>47.3474726265393</v>
      </c>
      <c r="L51" s="272">
        <v>84.887852003609396</v>
      </c>
      <c r="M51" s="359">
        <v>58.609874462824898</v>
      </c>
      <c r="N51" s="364">
        <v>12.959588411011699</v>
      </c>
      <c r="O51" s="364">
        <v>70.199155990550196</v>
      </c>
      <c r="P51" s="358">
        <v>41.579372200780902</v>
      </c>
    </row>
    <row r="52" spans="1:16">
      <c r="A52" s="265">
        <v>16</v>
      </c>
      <c r="B52" s="265" t="s">
        <v>31</v>
      </c>
      <c r="C52" s="358">
        <v>0</v>
      </c>
      <c r="D52" s="272">
        <v>0</v>
      </c>
      <c r="E52" s="272">
        <v>10.112060102353199</v>
      </c>
      <c r="F52" s="272">
        <v>30.700538022075499</v>
      </c>
      <c r="G52" s="272">
        <v>27.603064293609801</v>
      </c>
      <c r="H52" s="359">
        <v>36.538762708993097</v>
      </c>
      <c r="I52" s="358">
        <v>68.495424823450307</v>
      </c>
      <c r="J52" s="272">
        <v>4.4574799059357204</v>
      </c>
      <c r="K52" s="272">
        <v>50.182423360773399</v>
      </c>
      <c r="L52" s="272">
        <v>0</v>
      </c>
      <c r="M52" s="359">
        <v>91.098881121953696</v>
      </c>
      <c r="N52" s="364">
        <v>17.492404187838599</v>
      </c>
      <c r="O52" s="364">
        <v>42.846841842422599</v>
      </c>
      <c r="P52" s="358">
        <v>30.1696230151306</v>
      </c>
    </row>
    <row r="53" spans="1:16">
      <c r="A53" s="265">
        <v>17</v>
      </c>
      <c r="B53" s="265" t="s">
        <v>32</v>
      </c>
      <c r="C53" s="358">
        <v>0</v>
      </c>
      <c r="D53" s="272">
        <v>0.21782068558137799</v>
      </c>
      <c r="E53" s="272">
        <v>39.720227823427898</v>
      </c>
      <c r="F53" s="272">
        <v>3.9150227532032198</v>
      </c>
      <c r="G53" s="272">
        <v>40.021732647032202</v>
      </c>
      <c r="H53" s="359">
        <v>10.7800670543102</v>
      </c>
      <c r="I53" s="358">
        <v>56.234108105471599</v>
      </c>
      <c r="J53" s="272">
        <v>20.992909059052199</v>
      </c>
      <c r="K53" s="272">
        <v>53.590661753267803</v>
      </c>
      <c r="L53" s="272">
        <v>78.776553807139393</v>
      </c>
      <c r="M53" s="359">
        <v>86.128957669090994</v>
      </c>
      <c r="N53" s="364">
        <v>15.775811827259099</v>
      </c>
      <c r="O53" s="364">
        <v>59.144638078804398</v>
      </c>
      <c r="P53" s="358">
        <v>37.460224953031798</v>
      </c>
    </row>
    <row r="54" spans="1:16">
      <c r="A54" s="265">
        <v>18</v>
      </c>
      <c r="B54" s="265" t="s">
        <v>33</v>
      </c>
      <c r="C54" s="358">
        <v>0</v>
      </c>
      <c r="D54" s="272">
        <v>21.089002740378898</v>
      </c>
      <c r="E54" s="272">
        <v>10.417946133470901</v>
      </c>
      <c r="F54" s="272">
        <v>0</v>
      </c>
      <c r="G54" s="272">
        <v>100</v>
      </c>
      <c r="H54" s="359">
        <v>78.548240690153804</v>
      </c>
      <c r="I54" s="358">
        <v>48.093931183984303</v>
      </c>
      <c r="J54" s="272">
        <v>100</v>
      </c>
      <c r="K54" s="272">
        <v>37.8096949395213</v>
      </c>
      <c r="L54" s="272">
        <v>65.966760876103905</v>
      </c>
      <c r="M54" s="359">
        <v>58.913972029775103</v>
      </c>
      <c r="N54" s="364">
        <v>35.009198260667297</v>
      </c>
      <c r="O54" s="364">
        <v>62.156871805876897</v>
      </c>
      <c r="P54" s="358">
        <v>48.583035033272097</v>
      </c>
    </row>
    <row r="55" spans="1:16">
      <c r="A55" s="273">
        <v>19</v>
      </c>
      <c r="B55" s="273" t="s">
        <v>34</v>
      </c>
      <c r="C55" s="360">
        <v>0</v>
      </c>
      <c r="D55" s="357">
        <v>0</v>
      </c>
      <c r="E55" s="357">
        <v>1.3724267361282301</v>
      </c>
      <c r="F55" s="357">
        <v>6.4297886298100604</v>
      </c>
      <c r="G55" s="357">
        <v>44.603454797629198</v>
      </c>
      <c r="H55" s="361">
        <v>42.012643432991702</v>
      </c>
      <c r="I55" s="360">
        <v>43.660854847259301</v>
      </c>
      <c r="J55" s="357">
        <v>89.667498497280405</v>
      </c>
      <c r="K55" s="357">
        <v>100</v>
      </c>
      <c r="L55" s="357">
        <v>84.4621303903578</v>
      </c>
      <c r="M55" s="361">
        <v>83.178453581197402</v>
      </c>
      <c r="N55" s="365">
        <v>15.7363855994265</v>
      </c>
      <c r="O55" s="365">
        <v>80.193787463218996</v>
      </c>
      <c r="P55" s="360">
        <v>47.965086531322797</v>
      </c>
    </row>
  </sheetData>
  <mergeCells count="1">
    <mergeCell ref="A3:G3"/>
  </mergeCells>
  <pageMargins left="0.7" right="0.7" top="0.75" bottom="0.75" header="0.3" footer="0.3"/>
  <tableParts count="2">
    <tablePart r:id="rId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U57"/>
  <sheetViews>
    <sheetView zoomScale="85" zoomScaleNormal="85" workbookViewId="0"/>
  </sheetViews>
  <sheetFormatPr defaultRowHeight="14"/>
  <cols>
    <col min="1" max="1" width="20.5" customWidth="1"/>
    <col min="2" max="2" width="23.58203125" customWidth="1"/>
    <col min="3" max="3" width="22.83203125" customWidth="1"/>
    <col min="4" max="4" width="22.58203125" customWidth="1"/>
    <col min="5" max="6" width="22.83203125" customWidth="1"/>
    <col min="7" max="7" width="25.75" customWidth="1"/>
    <col min="8" max="8" width="24.75" customWidth="1"/>
    <col min="9" max="9" width="23" customWidth="1"/>
    <col min="10" max="10" width="27.58203125" customWidth="1"/>
    <col min="11" max="11" width="24.33203125" customWidth="1"/>
    <col min="12" max="12" width="22.75" customWidth="1"/>
    <col min="13" max="13" width="28.58203125" customWidth="1"/>
    <col min="14" max="14" width="28.25" customWidth="1"/>
    <col min="15" max="15" width="26.83203125" customWidth="1"/>
    <col min="16" max="16" width="24" customWidth="1"/>
  </cols>
  <sheetData>
    <row r="1" spans="1:21" ht="20">
      <c r="A1" s="311" t="s">
        <v>364</v>
      </c>
      <c r="B1" s="21"/>
      <c r="C1" s="21"/>
      <c r="D1" s="21"/>
      <c r="E1" s="21"/>
      <c r="F1" s="21"/>
      <c r="G1" s="22"/>
      <c r="H1" s="21"/>
      <c r="I1" s="3"/>
      <c r="J1" s="3"/>
      <c r="K1" s="3"/>
      <c r="L1" s="3"/>
      <c r="M1" s="3"/>
      <c r="N1" s="3"/>
      <c r="O1" s="3"/>
      <c r="P1" s="3"/>
      <c r="Q1" s="3"/>
    </row>
    <row r="2" spans="1:21" ht="15.5">
      <c r="A2" s="32" t="str">
        <f>INFO!A2</f>
        <v>VM/HVO 22.9.2025</v>
      </c>
      <c r="B2" s="378"/>
      <c r="C2" s="378"/>
      <c r="D2" s="378"/>
      <c r="E2" s="378"/>
      <c r="F2" s="378"/>
      <c r="G2" s="379"/>
      <c r="H2" s="21"/>
      <c r="I2" s="3"/>
      <c r="J2" s="3"/>
      <c r="K2" s="3"/>
      <c r="L2" s="3"/>
      <c r="M2" s="3"/>
      <c r="N2" s="3"/>
      <c r="O2" s="3"/>
      <c r="P2" s="3"/>
      <c r="Q2" s="3"/>
    </row>
    <row r="3" spans="1:21" ht="15.5">
      <c r="A3" s="380" t="s">
        <v>358</v>
      </c>
      <c r="B3" s="378"/>
      <c r="C3" s="378"/>
      <c r="D3" s="378"/>
      <c r="E3" s="378"/>
      <c r="F3" s="378"/>
      <c r="G3" s="379"/>
      <c r="H3" s="21"/>
      <c r="I3" s="3"/>
      <c r="J3" s="3"/>
      <c r="K3" s="3"/>
      <c r="L3" s="3"/>
      <c r="M3" s="3"/>
      <c r="N3" s="3"/>
      <c r="O3" s="3"/>
      <c r="P3" s="3"/>
      <c r="Q3" s="3"/>
    </row>
    <row r="4" spans="1:21" ht="75.75" customHeight="1">
      <c r="A4" s="541" t="s">
        <v>444</v>
      </c>
      <c r="B4" s="541"/>
      <c r="C4" s="541"/>
      <c r="D4" s="541"/>
      <c r="E4" s="541"/>
      <c r="F4" s="541"/>
      <c r="G4" s="541"/>
      <c r="H4" s="346"/>
      <c r="I4" s="346"/>
      <c r="J4" s="3"/>
      <c r="K4" s="3"/>
      <c r="L4" s="3"/>
      <c r="M4" s="3"/>
      <c r="N4" s="3"/>
      <c r="O4" s="3"/>
      <c r="P4" s="3"/>
      <c r="Q4" s="3"/>
    </row>
    <row r="5" spans="1:21">
      <c r="A5" s="337"/>
      <c r="B5" s="337"/>
      <c r="C5" s="337"/>
      <c r="D5" s="337"/>
      <c r="E5" s="337"/>
      <c r="F5" s="337"/>
      <c r="G5" s="337"/>
      <c r="H5" s="346"/>
      <c r="I5" s="346"/>
      <c r="J5" s="3"/>
      <c r="K5" s="3"/>
      <c r="L5" s="3"/>
      <c r="M5" s="3"/>
      <c r="N5" s="3"/>
      <c r="O5" s="3"/>
      <c r="P5" s="3"/>
      <c r="Q5" s="3"/>
    </row>
    <row r="6" spans="1:21" ht="17" thickBot="1">
      <c r="A6" s="352" t="s">
        <v>363</v>
      </c>
      <c r="B6" s="372"/>
      <c r="C6" s="372"/>
      <c r="D6" s="372"/>
      <c r="E6" s="372"/>
      <c r="F6" s="372"/>
      <c r="G6" s="372"/>
      <c r="H6" s="372"/>
      <c r="I6" s="372"/>
      <c r="J6" s="372"/>
      <c r="K6" s="372"/>
      <c r="L6" s="372"/>
      <c r="M6" s="3"/>
      <c r="N6" s="3"/>
      <c r="O6" s="3"/>
      <c r="P6" s="3"/>
      <c r="Q6" s="3"/>
    </row>
    <row r="7" spans="1:21" ht="57" customHeight="1">
      <c r="A7" s="225" t="s">
        <v>6</v>
      </c>
      <c r="B7" s="226" t="s">
        <v>7</v>
      </c>
      <c r="C7" s="226" t="s">
        <v>229</v>
      </c>
      <c r="D7" s="207" t="s">
        <v>361</v>
      </c>
      <c r="E7" s="207" t="s">
        <v>360</v>
      </c>
      <c r="F7" s="207" t="s">
        <v>359</v>
      </c>
      <c r="G7" s="207" t="s">
        <v>214</v>
      </c>
      <c r="H7" s="207" t="s">
        <v>215</v>
      </c>
      <c r="I7" s="207" t="s">
        <v>216</v>
      </c>
      <c r="J7" s="216" t="s">
        <v>375</v>
      </c>
      <c r="K7" s="217" t="s">
        <v>376</v>
      </c>
      <c r="L7" s="218" t="s">
        <v>377</v>
      </c>
      <c r="P7" s="255"/>
      <c r="Q7" s="3"/>
    </row>
    <row r="8" spans="1:21">
      <c r="A8" s="227">
        <v>31</v>
      </c>
      <c r="B8" s="13" t="s">
        <v>14</v>
      </c>
      <c r="C8" s="14">
        <f>Määräytymistekijät!C8</f>
        <v>684018</v>
      </c>
      <c r="D8" s="307">
        <f>(D34+G34)/2</f>
        <v>0.90977699036136372</v>
      </c>
      <c r="E8" s="307">
        <f>(E34+H34)/2</f>
        <v>0.7909368146615825</v>
      </c>
      <c r="F8" s="307">
        <f t="shared" ref="F8" si="0">(F34+I34)/2</f>
        <v>0.8351653258798184</v>
      </c>
      <c r="G8" s="15">
        <f t="shared" ref="G8:G29" si="1">D8*(C8/$C$30)</f>
        <v>0.11102027546220834</v>
      </c>
      <c r="H8" s="15">
        <f t="shared" ref="H8:H29" si="2">E8*(C8/$C$30)</f>
        <v>9.6518184090424564E-2</v>
      </c>
      <c r="I8" s="15">
        <f t="shared" ref="I8:I29" si="3">F8*(C8/$C$30)</f>
        <v>0.10191539851852476</v>
      </c>
      <c r="J8" s="348">
        <f t="shared" ref="J8:J29" si="4">D8/$G$30</f>
        <v>0.91044173611120249</v>
      </c>
      <c r="K8" s="214">
        <f t="shared" ref="K8:K29" si="5">E8/$H$30</f>
        <v>0.79261389649682645</v>
      </c>
      <c r="L8" s="219">
        <f t="shared" ref="L8:L29" si="6">F8/$I$30</f>
        <v>0.83630672573341647</v>
      </c>
      <c r="Q8" s="326"/>
      <c r="R8" s="326"/>
      <c r="S8" s="326"/>
      <c r="T8" s="325"/>
      <c r="U8" s="325"/>
    </row>
    <row r="9" spans="1:21">
      <c r="A9" s="106">
        <v>32</v>
      </c>
      <c r="B9" s="17" t="s">
        <v>41</v>
      </c>
      <c r="C9" s="14">
        <f>Määräytymistekijät!C9</f>
        <v>289730</v>
      </c>
      <c r="D9" s="307">
        <f t="shared" ref="D9:D28" si="7">(D35+G35)/2</f>
        <v>0.92959510584563221</v>
      </c>
      <c r="E9" s="307">
        <f t="shared" ref="E9:E29" si="8">(E35+H35)/2</f>
        <v>0.64962075356972748</v>
      </c>
      <c r="F9" s="307">
        <f t="shared" ref="F9:F29" si="9">(F35+I35)/2</f>
        <v>0.8978950953586653</v>
      </c>
      <c r="G9" s="18">
        <f t="shared" si="1"/>
        <v>4.8049305688983336E-2</v>
      </c>
      <c r="H9" s="18">
        <f t="shared" si="2"/>
        <v>3.3577872746850382E-2</v>
      </c>
      <c r="I9" s="18">
        <f t="shared" si="3"/>
        <v>4.6410782116027713E-2</v>
      </c>
      <c r="J9" s="349">
        <f t="shared" si="4"/>
        <v>0.93027433207604759</v>
      </c>
      <c r="K9" s="215">
        <f t="shared" si="5"/>
        <v>0.65099819250721769</v>
      </c>
      <c r="L9" s="220">
        <f t="shared" si="6"/>
        <v>0.89912222644113593</v>
      </c>
      <c r="Q9" s="326"/>
      <c r="R9" s="326"/>
      <c r="S9" s="326"/>
    </row>
    <row r="10" spans="1:21">
      <c r="A10" s="106">
        <v>33</v>
      </c>
      <c r="B10" s="17" t="s">
        <v>15</v>
      </c>
      <c r="C10" s="14">
        <f>Määräytymistekijät!C10</f>
        <v>502067</v>
      </c>
      <c r="D10" s="307">
        <f t="shared" si="7"/>
        <v>0.84527030455767083</v>
      </c>
      <c r="E10" s="307">
        <f t="shared" si="8"/>
        <v>0.63735303169216073</v>
      </c>
      <c r="F10" s="307">
        <f t="shared" si="9"/>
        <v>0.74327656667820652</v>
      </c>
      <c r="G10" s="18">
        <f t="shared" si="1"/>
        <v>7.571067363332995E-2</v>
      </c>
      <c r="H10" s="18">
        <f t="shared" si="2"/>
        <v>5.7087569634792834E-2</v>
      </c>
      <c r="I10" s="18">
        <f t="shared" si="3"/>
        <v>6.6575117161514166E-2</v>
      </c>
      <c r="J10" s="349">
        <f t="shared" si="4"/>
        <v>0.84588791727856028</v>
      </c>
      <c r="K10" s="215">
        <f t="shared" si="5"/>
        <v>0.63870445847148694</v>
      </c>
      <c r="L10" s="220">
        <f t="shared" si="6"/>
        <v>0.74429238443081214</v>
      </c>
      <c r="Q10" s="326"/>
      <c r="R10" s="326"/>
      <c r="S10" s="326"/>
    </row>
    <row r="11" spans="1:21">
      <c r="A11" s="106">
        <v>34</v>
      </c>
      <c r="B11" s="17" t="s">
        <v>16</v>
      </c>
      <c r="C11" s="14">
        <f>Määräytymistekijät!C11</f>
        <v>99415</v>
      </c>
      <c r="D11" s="307">
        <f t="shared" si="7"/>
        <v>0.96339604418575364</v>
      </c>
      <c r="E11" s="307">
        <f t="shared" si="8"/>
        <v>0.91371130720437366</v>
      </c>
      <c r="F11" s="307">
        <f t="shared" si="9"/>
        <v>0.80669854367823235</v>
      </c>
      <c r="G11" s="18">
        <f t="shared" si="1"/>
        <v>1.7086637157671312E-2</v>
      </c>
      <c r="H11" s="18">
        <f t="shared" si="2"/>
        <v>1.6205436660535488E-2</v>
      </c>
      <c r="I11" s="18">
        <f t="shared" si="3"/>
        <v>1.4307475512940921E-2</v>
      </c>
      <c r="J11" s="349">
        <f t="shared" si="4"/>
        <v>0.96409996771049522</v>
      </c>
      <c r="K11" s="215">
        <f t="shared" si="5"/>
        <v>0.91564871687802141</v>
      </c>
      <c r="L11" s="220">
        <f t="shared" si="6"/>
        <v>0.80780103868265807</v>
      </c>
      <c r="Q11" s="326"/>
      <c r="R11" s="326"/>
      <c r="S11" s="326"/>
    </row>
    <row r="12" spans="1:21">
      <c r="A12" s="106">
        <v>35</v>
      </c>
      <c r="B12" s="17" t="s">
        <v>17</v>
      </c>
      <c r="C12" s="14">
        <f>Määräytymistekijät!C12</f>
        <v>207070</v>
      </c>
      <c r="D12" s="307">
        <f t="shared" si="7"/>
        <v>0.91210148496433763</v>
      </c>
      <c r="E12" s="307">
        <f t="shared" si="8"/>
        <v>0.73088714057766069</v>
      </c>
      <c r="F12" s="307">
        <f t="shared" si="9"/>
        <v>0.82000291261857672</v>
      </c>
      <c r="G12" s="18">
        <f t="shared" si="1"/>
        <v>3.3694589349998472E-2</v>
      </c>
      <c r="H12" s="18">
        <f t="shared" si="2"/>
        <v>2.7000221432510629E-2</v>
      </c>
      <c r="I12" s="18">
        <f t="shared" si="3"/>
        <v>3.0292310518018638E-2</v>
      </c>
      <c r="J12" s="349">
        <f t="shared" si="4"/>
        <v>0.91276792915008353</v>
      </c>
      <c r="K12" s="215">
        <f t="shared" si="5"/>
        <v>0.73243689464695472</v>
      </c>
      <c r="L12" s="220">
        <f t="shared" si="6"/>
        <v>0.82112359037591398</v>
      </c>
      <c r="Q12" s="326"/>
      <c r="R12" s="326"/>
      <c r="S12" s="326"/>
    </row>
    <row r="13" spans="1:21">
      <c r="A13" s="107">
        <v>2</v>
      </c>
      <c r="B13" s="17" t="s">
        <v>18</v>
      </c>
      <c r="C13" s="14">
        <f>Määräytymistekijät!C13</f>
        <v>494819</v>
      </c>
      <c r="D13" s="307">
        <f t="shared" si="7"/>
        <v>1.0473197801553769</v>
      </c>
      <c r="E13" s="307">
        <f t="shared" si="8"/>
        <v>1.0849463708747755</v>
      </c>
      <c r="F13" s="307">
        <f t="shared" si="9"/>
        <v>1.0236676407298346</v>
      </c>
      <c r="G13" s="18">
        <f t="shared" si="1"/>
        <v>9.2453955110246816E-2</v>
      </c>
      <c r="H13" s="18">
        <f t="shared" si="2"/>
        <v>9.5775507128300769E-2</v>
      </c>
      <c r="I13" s="18">
        <f t="shared" si="3"/>
        <v>9.0366021817908967E-2</v>
      </c>
      <c r="J13" s="349">
        <f t="shared" si="4"/>
        <v>1.0480850241436908</v>
      </c>
      <c r="K13" s="215">
        <f t="shared" si="5"/>
        <v>1.0872468629205105</v>
      </c>
      <c r="L13" s="220">
        <f t="shared" si="6"/>
        <v>1.0250666620481961</v>
      </c>
      <c r="Q13" s="326"/>
      <c r="R13" s="326"/>
      <c r="S13" s="326"/>
    </row>
    <row r="14" spans="1:21">
      <c r="A14" s="107">
        <v>4</v>
      </c>
      <c r="B14" s="17" t="s">
        <v>19</v>
      </c>
      <c r="C14" s="14">
        <f>Määräytymistekijät!C14</f>
        <v>211261</v>
      </c>
      <c r="D14" s="307">
        <f t="shared" si="7"/>
        <v>1.040325342792207</v>
      </c>
      <c r="E14" s="307">
        <f t="shared" si="8"/>
        <v>1.1638604042183451</v>
      </c>
      <c r="F14" s="307">
        <f t="shared" si="9"/>
        <v>1.0965172144038</v>
      </c>
      <c r="G14" s="18">
        <f t="shared" si="1"/>
        <v>3.920923156417816E-2</v>
      </c>
      <c r="H14" s="18">
        <f t="shared" si="2"/>
        <v>4.3865193147073003E-2</v>
      </c>
      <c r="I14" s="18">
        <f t="shared" si="3"/>
        <v>4.1327069143843459E-2</v>
      </c>
      <c r="J14" s="349">
        <f t="shared" si="4"/>
        <v>1.0410854761626893</v>
      </c>
      <c r="K14" s="215">
        <f t="shared" si="5"/>
        <v>1.1663282235264014</v>
      </c>
      <c r="L14" s="220">
        <f t="shared" si="6"/>
        <v>1.0980157974378475</v>
      </c>
      <c r="Q14" s="326"/>
      <c r="R14" s="326"/>
      <c r="S14" s="326"/>
    </row>
    <row r="15" spans="1:21">
      <c r="A15" s="107">
        <v>5</v>
      </c>
      <c r="B15" s="17" t="s">
        <v>20</v>
      </c>
      <c r="C15" s="14">
        <f>Määräytymistekijät!C15</f>
        <v>169455</v>
      </c>
      <c r="D15" s="307">
        <f t="shared" si="7"/>
        <v>1.0454982081939308</v>
      </c>
      <c r="E15" s="307">
        <f t="shared" si="8"/>
        <v>1.1085269349315565</v>
      </c>
      <c r="F15" s="307">
        <f t="shared" si="9"/>
        <v>1.0063827946872057</v>
      </c>
      <c r="G15" s="18">
        <f t="shared" si="1"/>
        <v>3.160657976515914E-2</v>
      </c>
      <c r="H15" s="18">
        <f t="shared" si="2"/>
        <v>3.3512008644440074E-2</v>
      </c>
      <c r="I15" s="18">
        <f t="shared" si="3"/>
        <v>3.0424077081406892E-2</v>
      </c>
      <c r="J15" s="349">
        <f t="shared" si="4"/>
        <v>1.0462621212162693</v>
      </c>
      <c r="K15" s="215">
        <f t="shared" si="5"/>
        <v>1.1108774265915609</v>
      </c>
      <c r="L15" s="220">
        <f t="shared" si="6"/>
        <v>1.0077581932327686</v>
      </c>
      <c r="Q15" s="326"/>
      <c r="R15" s="326"/>
      <c r="S15" s="326"/>
    </row>
    <row r="16" spans="1:21">
      <c r="A16" s="107">
        <v>6</v>
      </c>
      <c r="B16" s="17" t="s">
        <v>21</v>
      </c>
      <c r="C16" s="14">
        <f>Määräytymistekijät!C16</f>
        <v>545406</v>
      </c>
      <c r="D16" s="307">
        <f t="shared" si="7"/>
        <v>1.013188643688951</v>
      </c>
      <c r="E16" s="307">
        <f t="shared" si="8"/>
        <v>0.98033528352462096</v>
      </c>
      <c r="F16" s="307">
        <f t="shared" si="9"/>
        <v>0.95328376053307662</v>
      </c>
      <c r="G16" s="18">
        <f t="shared" si="1"/>
        <v>9.858481962747441E-2</v>
      </c>
      <c r="H16" s="18">
        <f t="shared" si="2"/>
        <v>9.538813695033295E-2</v>
      </c>
      <c r="I16" s="18">
        <f t="shared" si="3"/>
        <v>9.2755981989475919E-2</v>
      </c>
      <c r="J16" s="349">
        <f t="shared" si="4"/>
        <v>1.0139289491174381</v>
      </c>
      <c r="K16" s="215">
        <f t="shared" si="5"/>
        <v>0.98241396094356415</v>
      </c>
      <c r="L16" s="220">
        <f t="shared" si="6"/>
        <v>0.95458658993821699</v>
      </c>
      <c r="Q16" s="326"/>
      <c r="R16" s="326"/>
      <c r="S16" s="326"/>
    </row>
    <row r="17" spans="1:19">
      <c r="A17" s="107">
        <v>7</v>
      </c>
      <c r="B17" s="17" t="s">
        <v>22</v>
      </c>
      <c r="C17" s="14">
        <f>Määräytymistekijät!C17</f>
        <v>204635</v>
      </c>
      <c r="D17" s="307">
        <f t="shared" si="7"/>
        <v>1.0656282216275446</v>
      </c>
      <c r="E17" s="307">
        <f t="shared" si="8"/>
        <v>1.1415375747355379</v>
      </c>
      <c r="F17" s="307">
        <f t="shared" si="9"/>
        <v>1.0603693460461376</v>
      </c>
      <c r="G17" s="18">
        <f t="shared" si="1"/>
        <v>3.8903211206922389E-2</v>
      </c>
      <c r="H17" s="18">
        <f t="shared" si="2"/>
        <v>4.1674456878354388E-2</v>
      </c>
      <c r="I17" s="18">
        <f t="shared" si="3"/>
        <v>3.8711223848383838E-2</v>
      </c>
      <c r="J17" s="349">
        <f t="shared" si="4"/>
        <v>1.0664068430245903</v>
      </c>
      <c r="K17" s="215">
        <f t="shared" si="5"/>
        <v>1.1439580612969791</v>
      </c>
      <c r="L17" s="220">
        <f t="shared" si="6"/>
        <v>1.0618185266799982</v>
      </c>
      <c r="Q17" s="326"/>
      <c r="R17" s="326"/>
      <c r="S17" s="326"/>
    </row>
    <row r="18" spans="1:19">
      <c r="A18" s="107">
        <v>8</v>
      </c>
      <c r="B18" s="17" t="s">
        <v>23</v>
      </c>
      <c r="C18" s="14">
        <f>Määräytymistekijät!C18</f>
        <v>157442</v>
      </c>
      <c r="D18" s="307">
        <f t="shared" si="7"/>
        <v>1.1252310131741134</v>
      </c>
      <c r="E18" s="307">
        <f t="shared" si="8"/>
        <v>1.4019234421270637</v>
      </c>
      <c r="F18" s="307">
        <f t="shared" si="9"/>
        <v>1.1498740518239239</v>
      </c>
      <c r="G18" s="18">
        <f t="shared" si="1"/>
        <v>3.1605459811846287E-2</v>
      </c>
      <c r="H18" s="18">
        <f t="shared" si="2"/>
        <v>3.9377189653211256E-2</v>
      </c>
      <c r="I18" s="18">
        <f t="shared" si="3"/>
        <v>3.2297632848822332E-2</v>
      </c>
      <c r="J18" s="349">
        <f t="shared" si="4"/>
        <v>1.1260531844771018</v>
      </c>
      <c r="K18" s="215">
        <f t="shared" si="5"/>
        <v>1.4048960441043783</v>
      </c>
      <c r="L18" s="220">
        <f t="shared" si="6"/>
        <v>1.1514455563317594</v>
      </c>
      <c r="Q18" s="326"/>
      <c r="R18" s="326"/>
      <c r="S18" s="326"/>
    </row>
    <row r="19" spans="1:19">
      <c r="A19" s="107">
        <v>9</v>
      </c>
      <c r="B19" s="17" t="s">
        <v>24</v>
      </c>
      <c r="C19" s="14">
        <f>Määräytymistekijät!C19</f>
        <v>125083</v>
      </c>
      <c r="D19" s="307">
        <f t="shared" si="7"/>
        <v>1.0026372582526071</v>
      </c>
      <c r="E19" s="307">
        <f t="shared" si="8"/>
        <v>1.1630294006790116</v>
      </c>
      <c r="F19" s="307">
        <f t="shared" si="9"/>
        <v>0.95967165350099592</v>
      </c>
      <c r="G19" s="18">
        <f t="shared" si="1"/>
        <v>2.2373913228103042E-2</v>
      </c>
      <c r="H19" s="18">
        <f t="shared" si="2"/>
        <v>2.5953073934111632E-2</v>
      </c>
      <c r="I19" s="18">
        <f t="shared" si="3"/>
        <v>2.141513306649117E-2</v>
      </c>
      <c r="J19" s="349">
        <f t="shared" si="4"/>
        <v>1.0033698541119382</v>
      </c>
      <c r="K19" s="215">
        <f t="shared" si="5"/>
        <v>1.1654954579487924</v>
      </c>
      <c r="L19" s="220">
        <f t="shared" si="6"/>
        <v>0.96098321308191403</v>
      </c>
      <c r="Q19" s="326"/>
      <c r="R19" s="326"/>
      <c r="S19" s="326"/>
    </row>
    <row r="20" spans="1:19">
      <c r="A20" s="107">
        <v>10</v>
      </c>
      <c r="B20" s="17" t="s">
        <v>25</v>
      </c>
      <c r="C20" s="14">
        <f>Määräytymistekijät!C20</f>
        <v>129376</v>
      </c>
      <c r="D20" s="307">
        <f t="shared" si="7"/>
        <v>1.1552041423606829</v>
      </c>
      <c r="E20" s="307">
        <f t="shared" si="8"/>
        <v>1.4784536400737256</v>
      </c>
      <c r="F20" s="307">
        <f t="shared" si="9"/>
        <v>1.2000385533642721</v>
      </c>
      <c r="G20" s="18">
        <f t="shared" si="1"/>
        <v>2.6663200515163677E-2</v>
      </c>
      <c r="H20" s="18">
        <f t="shared" si="2"/>
        <v>3.4124103621289988E-2</v>
      </c>
      <c r="I20" s="18">
        <f t="shared" si="3"/>
        <v>2.7698020982587793E-2</v>
      </c>
      <c r="J20" s="349">
        <f t="shared" si="4"/>
        <v>1.1560482140969064</v>
      </c>
      <c r="K20" s="215">
        <f t="shared" si="5"/>
        <v>1.4815885146908325</v>
      </c>
      <c r="L20" s="220">
        <f t="shared" si="6"/>
        <v>1.2016786164591797</v>
      </c>
      <c r="Q20" s="326"/>
      <c r="R20" s="326"/>
      <c r="S20" s="326"/>
    </row>
    <row r="21" spans="1:19">
      <c r="A21" s="107">
        <v>11</v>
      </c>
      <c r="B21" s="17" t="s">
        <v>26</v>
      </c>
      <c r="C21" s="14">
        <f>Määräytymistekijät!C21</f>
        <v>248815</v>
      </c>
      <c r="D21" s="307">
        <f t="shared" si="7"/>
        <v>1.0903726335549613</v>
      </c>
      <c r="E21" s="307">
        <f t="shared" si="8"/>
        <v>1.1976985121622423</v>
      </c>
      <c r="F21" s="307">
        <f t="shared" si="9"/>
        <v>1.1815184863244448</v>
      </c>
      <c r="G21" s="18">
        <f t="shared" si="1"/>
        <v>4.8400664372412423E-2</v>
      </c>
      <c r="H21" s="18">
        <f t="shared" si="2"/>
        <v>5.3164763973857027E-2</v>
      </c>
      <c r="I21" s="18">
        <f t="shared" si="3"/>
        <v>5.2446547122101519E-2</v>
      </c>
      <c r="J21" s="349">
        <f t="shared" si="4"/>
        <v>1.0911693349241707</v>
      </c>
      <c r="K21" s="215">
        <f t="shared" si="5"/>
        <v>1.2002380809136419</v>
      </c>
      <c r="L21" s="220">
        <f t="shared" si="6"/>
        <v>1.1831332385004807</v>
      </c>
      <c r="Q21" s="326"/>
      <c r="R21" s="326"/>
      <c r="S21" s="326"/>
    </row>
    <row r="22" spans="1:19">
      <c r="A22" s="107">
        <v>12</v>
      </c>
      <c r="B22" s="17" t="s">
        <v>27</v>
      </c>
      <c r="C22" s="14">
        <f>Määräytymistekijät!C22</f>
        <v>162091</v>
      </c>
      <c r="D22" s="307">
        <f t="shared" si="7"/>
        <v>1.1920610714346611</v>
      </c>
      <c r="E22" s="307">
        <f t="shared" si="8"/>
        <v>1.3252506025710966</v>
      </c>
      <c r="F22" s="307">
        <f t="shared" si="9"/>
        <v>1.2711574793771772</v>
      </c>
      <c r="G22" s="18">
        <f t="shared" si="1"/>
        <v>3.4471265609048632E-2</v>
      </c>
      <c r="H22" s="18">
        <f t="shared" si="2"/>
        <v>3.8322755951421053E-2</v>
      </c>
      <c r="I22" s="18">
        <f t="shared" si="3"/>
        <v>3.6758525341158407E-2</v>
      </c>
      <c r="J22" s="349">
        <f t="shared" si="4"/>
        <v>1.1929320733825888</v>
      </c>
      <c r="K22" s="215">
        <f t="shared" si="5"/>
        <v>1.3280606294550634</v>
      </c>
      <c r="L22" s="220">
        <f t="shared" si="6"/>
        <v>1.2728947389542946</v>
      </c>
      <c r="Q22" s="326"/>
      <c r="R22" s="326"/>
      <c r="S22" s="326"/>
    </row>
    <row r="23" spans="1:19">
      <c r="A23" s="107">
        <v>13</v>
      </c>
      <c r="B23" s="17" t="s">
        <v>28</v>
      </c>
      <c r="C23" s="14">
        <f>Määräytymistekijät!C23</f>
        <v>274112</v>
      </c>
      <c r="D23" s="307">
        <f t="shared" si="7"/>
        <v>0.96995002264179664</v>
      </c>
      <c r="E23" s="307">
        <f t="shared" si="8"/>
        <v>1.0131012868252314</v>
      </c>
      <c r="F23" s="307">
        <f t="shared" si="9"/>
        <v>1.019476664298073</v>
      </c>
      <c r="G23" s="18">
        <f t="shared" si="1"/>
        <v>4.7432632375008971E-2</v>
      </c>
      <c r="H23" s="18">
        <f t="shared" si="2"/>
        <v>4.954282156285502E-2</v>
      </c>
      <c r="I23" s="18">
        <f t="shared" si="3"/>
        <v>4.9854591168362716E-2</v>
      </c>
      <c r="J23" s="349">
        <f t="shared" si="4"/>
        <v>0.97065873495474608</v>
      </c>
      <c r="K23" s="215">
        <f t="shared" si="5"/>
        <v>1.0152494404247372</v>
      </c>
      <c r="L23" s="220">
        <f t="shared" si="6"/>
        <v>1.0208699579123053</v>
      </c>
      <c r="Q23" s="326"/>
      <c r="R23" s="326"/>
      <c r="S23" s="326"/>
    </row>
    <row r="24" spans="1:19">
      <c r="A24" s="107">
        <v>14</v>
      </c>
      <c r="B24" s="17" t="s">
        <v>29</v>
      </c>
      <c r="C24" s="14">
        <f>Määräytymistekijät!C24</f>
        <v>189929</v>
      </c>
      <c r="D24" s="307">
        <f t="shared" si="7"/>
        <v>1.0931841416484043</v>
      </c>
      <c r="E24" s="307">
        <f t="shared" si="8"/>
        <v>1.2757926489992117</v>
      </c>
      <c r="F24" s="307">
        <f t="shared" si="9"/>
        <v>1.0936356977379265</v>
      </c>
      <c r="G24" s="18">
        <f t="shared" si="1"/>
        <v>3.704114697512019E-2</v>
      </c>
      <c r="H24" s="18">
        <f t="shared" si="2"/>
        <v>4.3228602776929699E-2</v>
      </c>
      <c r="I24" s="18">
        <f t="shared" si="3"/>
        <v>3.7056447375887328E-2</v>
      </c>
      <c r="J24" s="349">
        <f t="shared" si="4"/>
        <v>1.0939828972991306</v>
      </c>
      <c r="K24" s="215">
        <f t="shared" si="5"/>
        <v>1.2784978065257202</v>
      </c>
      <c r="L24" s="220">
        <f t="shared" si="6"/>
        <v>1.0951303426742123</v>
      </c>
      <c r="Q24" s="326"/>
      <c r="R24" s="326"/>
      <c r="S24" s="326"/>
    </row>
    <row r="25" spans="1:19">
      <c r="A25" s="107">
        <v>15</v>
      </c>
      <c r="B25" s="17" t="s">
        <v>30</v>
      </c>
      <c r="C25" s="14">
        <f>Määräytymistekijät!C25</f>
        <v>178749</v>
      </c>
      <c r="D25" s="307">
        <f t="shared" si="7"/>
        <v>0.94161710785984143</v>
      </c>
      <c r="E25" s="307">
        <f t="shared" si="8"/>
        <v>0.9465281171061245</v>
      </c>
      <c r="F25" s="307">
        <f t="shared" si="9"/>
        <v>0.83012273464999398</v>
      </c>
      <c r="G25" s="18">
        <f t="shared" si="1"/>
        <v>3.002740369774605E-2</v>
      </c>
      <c r="H25" s="18">
        <f t="shared" si="2"/>
        <v>3.0184011788200855E-2</v>
      </c>
      <c r="I25" s="18">
        <f t="shared" si="3"/>
        <v>2.6471938820935868E-2</v>
      </c>
      <c r="J25" s="349">
        <f t="shared" si="4"/>
        <v>0.94230511819320528</v>
      </c>
      <c r="K25" s="215">
        <f t="shared" si="5"/>
        <v>0.9485351106893295</v>
      </c>
      <c r="L25" s="220">
        <f t="shared" si="6"/>
        <v>0.83125724291852121</v>
      </c>
      <c r="Q25" s="326"/>
      <c r="R25" s="326"/>
      <c r="S25" s="326"/>
    </row>
    <row r="26" spans="1:19">
      <c r="A26" s="107">
        <v>16</v>
      </c>
      <c r="B26" s="17" t="s">
        <v>31</v>
      </c>
      <c r="C26" s="14">
        <f>Määräytymistekijät!C26</f>
        <v>67723</v>
      </c>
      <c r="D26" s="307">
        <f t="shared" si="7"/>
        <v>1.0775563661706387</v>
      </c>
      <c r="E26" s="307">
        <f t="shared" si="8"/>
        <v>1.1736740924604185</v>
      </c>
      <c r="F26" s="307">
        <f t="shared" si="9"/>
        <v>1.1842493091344402</v>
      </c>
      <c r="G26" s="18">
        <f t="shared" si="1"/>
        <v>1.3018951432394307E-2</v>
      </c>
      <c r="H26" s="18">
        <f t="shared" si="2"/>
        <v>1.4180238256586902E-2</v>
      </c>
      <c r="I26" s="18">
        <f t="shared" si="3"/>
        <v>1.4308007194332039E-2</v>
      </c>
      <c r="J26" s="349">
        <f t="shared" si="4"/>
        <v>1.0783437030918979</v>
      </c>
      <c r="K26" s="215">
        <f t="shared" si="5"/>
        <v>1.1761627204575917</v>
      </c>
      <c r="L26" s="220">
        <f t="shared" si="6"/>
        <v>1.1858677934586614</v>
      </c>
      <c r="Q26" s="326"/>
      <c r="R26" s="326"/>
      <c r="S26" s="326"/>
    </row>
    <row r="27" spans="1:19">
      <c r="A27" s="107">
        <v>17</v>
      </c>
      <c r="B27" s="17" t="s">
        <v>32</v>
      </c>
      <c r="C27" s="14">
        <f>Määräytymistekijät!C27</f>
        <v>418331</v>
      </c>
      <c r="D27" s="307">
        <f t="shared" si="7"/>
        <v>0.97396344775459776</v>
      </c>
      <c r="E27" s="307">
        <f t="shared" si="8"/>
        <v>0.97334200062899257</v>
      </c>
      <c r="F27" s="307">
        <f t="shared" si="9"/>
        <v>1.2013674960107379</v>
      </c>
      <c r="G27" s="18">
        <f t="shared" si="1"/>
        <v>7.2687968060080918E-2</v>
      </c>
      <c r="H27" s="18">
        <f t="shared" si="2"/>
        <v>7.264158877457369E-2</v>
      </c>
      <c r="I27" s="18">
        <f t="shared" si="3"/>
        <v>8.9659383398596013E-2</v>
      </c>
      <c r="J27" s="349">
        <f t="shared" si="4"/>
        <v>0.97467509255244655</v>
      </c>
      <c r="K27" s="215">
        <f t="shared" si="5"/>
        <v>0.97540584967290556</v>
      </c>
      <c r="L27" s="220">
        <f t="shared" si="6"/>
        <v>1.2030093753387854</v>
      </c>
      <c r="Q27" s="326"/>
      <c r="R27" s="326"/>
      <c r="S27" s="326"/>
    </row>
    <row r="28" spans="1:19">
      <c r="A28" s="107">
        <v>18</v>
      </c>
      <c r="B28" s="17" t="s">
        <v>33</v>
      </c>
      <c r="C28" s="14">
        <f>Määräytymistekijät!C28</f>
        <v>69639</v>
      </c>
      <c r="D28" s="307">
        <f t="shared" si="7"/>
        <v>1.1369264921787945</v>
      </c>
      <c r="E28" s="307">
        <f t="shared" si="8"/>
        <v>1.4143959067285341</v>
      </c>
      <c r="F28" s="307">
        <f t="shared" si="9"/>
        <v>1.2530678341026014</v>
      </c>
      <c r="G28" s="18">
        <f t="shared" si="1"/>
        <v>1.4124878929922976E-2</v>
      </c>
      <c r="H28" s="18">
        <f t="shared" si="2"/>
        <v>1.7572086743473807E-2</v>
      </c>
      <c r="I28" s="18">
        <f t="shared" si="3"/>
        <v>1.5567788743985586E-2</v>
      </c>
      <c r="J28" s="349">
        <f t="shared" si="4"/>
        <v>1.1377572090045243</v>
      </c>
      <c r="K28" s="215">
        <f t="shared" si="5"/>
        <v>1.4173949549951554</v>
      </c>
      <c r="L28" s="220">
        <f t="shared" si="6"/>
        <v>1.2547803710076584</v>
      </c>
      <c r="Q28" s="326"/>
      <c r="R28" s="326"/>
      <c r="S28" s="326"/>
    </row>
    <row r="29" spans="1:19" ht="14.5" thickBot="1">
      <c r="A29" s="228">
        <v>19</v>
      </c>
      <c r="B29" s="229" t="s">
        <v>34</v>
      </c>
      <c r="C29" s="230">
        <f>Määräytymistekijät!C29</f>
        <v>176151</v>
      </c>
      <c r="D29" s="308">
        <f>(D55+G55)/2</f>
        <v>1.1170189717111603</v>
      </c>
      <c r="E29" s="308">
        <f t="shared" si="8"/>
        <v>1.240649865014646</v>
      </c>
      <c r="F29" s="308">
        <f t="shared" si="9"/>
        <v>1.3369859266556801</v>
      </c>
      <c r="G29" s="231">
        <f t="shared" si="1"/>
        <v>3.5103101017461204E-2</v>
      </c>
      <c r="H29" s="231">
        <f t="shared" si="2"/>
        <v>3.8988288150731694E-2</v>
      </c>
      <c r="I29" s="231">
        <f t="shared" si="3"/>
        <v>4.2015716143498166E-2</v>
      </c>
      <c r="J29" s="350">
        <f t="shared" si="4"/>
        <v>1.1178351427308728</v>
      </c>
      <c r="K29" s="222">
        <f t="shared" si="5"/>
        <v>1.2432805066966928</v>
      </c>
      <c r="L29" s="223">
        <f t="shared" si="6"/>
        <v>1.3388131523481976</v>
      </c>
      <c r="Q29" s="326"/>
      <c r="R29" s="326"/>
      <c r="S29" s="326"/>
    </row>
    <row r="30" spans="1:19" s="128" customFormat="1">
      <c r="A30" s="224"/>
      <c r="B30" s="224"/>
      <c r="C30" s="324">
        <f>SUM(C8:C29)</f>
        <v>5605317</v>
      </c>
      <c r="D30" s="254"/>
      <c r="E30" s="254"/>
      <c r="F30" s="254"/>
      <c r="G30" s="351">
        <f>SUM(G8:G29)</f>
        <v>0.99926986459048095</v>
      </c>
      <c r="H30" s="351">
        <f>SUM(H8:H29)</f>
        <v>0.99788411250085784</v>
      </c>
      <c r="I30" s="351">
        <f>SUM(I8:I29)</f>
        <v>0.99863518991480416</v>
      </c>
      <c r="J30" s="221"/>
      <c r="K30" s="221"/>
      <c r="L30" s="221"/>
      <c r="P30" s="221"/>
      <c r="Q30" s="127"/>
    </row>
    <row r="31" spans="1:19" s="128" customFormat="1">
      <c r="A31" s="23"/>
      <c r="B31" s="129"/>
      <c r="C31" s="129"/>
      <c r="D31" s="129"/>
      <c r="E31" s="130"/>
      <c r="F31" s="129"/>
      <c r="G31" s="129"/>
      <c r="H31" s="129"/>
      <c r="I31" s="129"/>
      <c r="J31" s="129"/>
      <c r="K31" s="129"/>
      <c r="L31" s="129"/>
      <c r="M31" s="129"/>
      <c r="N31" s="129"/>
      <c r="O31" s="129"/>
      <c r="P31" s="129"/>
      <c r="Q31" s="127"/>
    </row>
    <row r="32" spans="1:19" ht="17" thickBot="1">
      <c r="A32" s="347" t="s">
        <v>362</v>
      </c>
      <c r="B32" s="372"/>
      <c r="C32" s="372"/>
      <c r="D32" s="372"/>
      <c r="E32" s="372"/>
      <c r="F32" s="372"/>
      <c r="G32" s="372"/>
      <c r="H32" s="372"/>
      <c r="I32" s="372"/>
      <c r="J32" s="10"/>
      <c r="K32" s="10"/>
      <c r="L32" s="10"/>
      <c r="M32" s="10"/>
      <c r="N32" s="10"/>
      <c r="O32" s="10"/>
      <c r="P32" s="10"/>
    </row>
    <row r="33" spans="1:9" ht="54.65" customHeight="1" thickTop="1">
      <c r="A33" s="354" t="s">
        <v>6</v>
      </c>
      <c r="B33" s="158" t="s">
        <v>7</v>
      </c>
      <c r="C33" s="158" t="s">
        <v>229</v>
      </c>
      <c r="D33" s="520" t="s">
        <v>442</v>
      </c>
      <c r="E33" s="520" t="s">
        <v>441</v>
      </c>
      <c r="F33" s="520" t="s">
        <v>443</v>
      </c>
      <c r="G33" s="353" t="s">
        <v>246</v>
      </c>
      <c r="H33" s="353" t="s">
        <v>247</v>
      </c>
      <c r="I33" s="377" t="s">
        <v>248</v>
      </c>
    </row>
    <row r="34" spans="1:9">
      <c r="A34" s="227">
        <v>31</v>
      </c>
      <c r="B34" s="13" t="s">
        <v>14</v>
      </c>
      <c r="C34" s="14">
        <v>684018</v>
      </c>
      <c r="D34" s="373">
        <v>0.89156514292668942</v>
      </c>
      <c r="E34" s="373">
        <v>0.75811945228653621</v>
      </c>
      <c r="F34" s="373">
        <v>0.82359856366985662</v>
      </c>
      <c r="G34" s="373">
        <v>0.92798883779603802</v>
      </c>
      <c r="H34" s="373">
        <v>0.82375417703662868</v>
      </c>
      <c r="I34" s="374">
        <v>0.84673208808978029</v>
      </c>
    </row>
    <row r="35" spans="1:9">
      <c r="A35" s="106">
        <v>32</v>
      </c>
      <c r="B35" s="17" t="s">
        <v>41</v>
      </c>
      <c r="C35" s="14">
        <v>289730</v>
      </c>
      <c r="D35" s="373">
        <v>0.91293607884250183</v>
      </c>
      <c r="E35" s="373">
        <v>0.61149700426489384</v>
      </c>
      <c r="F35" s="373">
        <v>0.87654037660181816</v>
      </c>
      <c r="G35" s="373">
        <v>0.94625413284876259</v>
      </c>
      <c r="H35" s="373">
        <v>0.68774450287456113</v>
      </c>
      <c r="I35" s="374">
        <v>0.91924981411551254</v>
      </c>
    </row>
    <row r="36" spans="1:9">
      <c r="A36" s="106">
        <v>33</v>
      </c>
      <c r="B36" s="17" t="s">
        <v>15</v>
      </c>
      <c r="C36" s="14">
        <v>502067</v>
      </c>
      <c r="D36" s="373">
        <v>0.85099051753620558</v>
      </c>
      <c r="E36" s="373">
        <v>0.63662999103640494</v>
      </c>
      <c r="F36" s="373">
        <v>0.75069612396236141</v>
      </c>
      <c r="G36" s="373">
        <v>0.83955009157913618</v>
      </c>
      <c r="H36" s="373">
        <v>0.63807607234791652</v>
      </c>
      <c r="I36" s="374">
        <v>0.73585700939405163</v>
      </c>
    </row>
    <row r="37" spans="1:9">
      <c r="A37" s="106">
        <v>34</v>
      </c>
      <c r="B37" s="17" t="s">
        <v>16</v>
      </c>
      <c r="C37" s="14">
        <v>99415</v>
      </c>
      <c r="D37" s="373">
        <v>0.97469832164397119</v>
      </c>
      <c r="E37" s="373">
        <v>0.92089243288534683</v>
      </c>
      <c r="F37" s="373">
        <v>0.82035168027845096</v>
      </c>
      <c r="G37" s="373">
        <v>0.95209376672753598</v>
      </c>
      <c r="H37" s="373">
        <v>0.90653018152340037</v>
      </c>
      <c r="I37" s="374">
        <v>0.79304540707801363</v>
      </c>
    </row>
    <row r="38" spans="1:9">
      <c r="A38" s="106">
        <v>35</v>
      </c>
      <c r="B38" s="17" t="s">
        <v>17</v>
      </c>
      <c r="C38" s="14">
        <v>207070</v>
      </c>
      <c r="D38" s="373">
        <v>0.9194711688574192</v>
      </c>
      <c r="E38" s="373">
        <v>0.73607676995482163</v>
      </c>
      <c r="F38" s="373">
        <v>0.82806991326302259</v>
      </c>
      <c r="G38" s="373">
        <v>0.90473180107125617</v>
      </c>
      <c r="H38" s="373">
        <v>0.72569751120049986</v>
      </c>
      <c r="I38" s="374">
        <v>0.81193591197413084</v>
      </c>
    </row>
    <row r="39" spans="1:9">
      <c r="A39" s="107">
        <v>2</v>
      </c>
      <c r="B39" s="17" t="s">
        <v>18</v>
      </c>
      <c r="C39" s="14">
        <v>494819</v>
      </c>
      <c r="D39" s="373">
        <v>1.0483395405939719</v>
      </c>
      <c r="E39" s="373">
        <v>1.0901438525629399</v>
      </c>
      <c r="F39" s="373">
        <v>1.0237817934526197</v>
      </c>
      <c r="G39" s="373">
        <v>1.0463000197167818</v>
      </c>
      <c r="H39" s="373">
        <v>1.0797488891866112</v>
      </c>
      <c r="I39" s="374">
        <v>1.0235534880070494</v>
      </c>
    </row>
    <row r="40" spans="1:9">
      <c r="A40" s="107">
        <v>4</v>
      </c>
      <c r="B40" s="17" t="s">
        <v>19</v>
      </c>
      <c r="C40" s="14">
        <v>211261</v>
      </c>
      <c r="D40" s="373">
        <v>1.0544759118676708</v>
      </c>
      <c r="E40" s="373">
        <v>1.1809326587552562</v>
      </c>
      <c r="F40" s="373">
        <v>1.1110810066821595</v>
      </c>
      <c r="G40" s="373">
        <v>1.0261747737167433</v>
      </c>
      <c r="H40" s="373">
        <v>1.1467881496814338</v>
      </c>
      <c r="I40" s="374">
        <v>1.0819534221254408</v>
      </c>
    </row>
    <row r="41" spans="1:9">
      <c r="A41" s="107">
        <v>5</v>
      </c>
      <c r="B41" s="17" t="s">
        <v>20</v>
      </c>
      <c r="C41" s="14">
        <v>169455</v>
      </c>
      <c r="D41" s="373">
        <v>1.0492532703120985</v>
      </c>
      <c r="E41" s="373">
        <v>1.1208278332023311</v>
      </c>
      <c r="F41" s="373">
        <v>1.0112648750090694</v>
      </c>
      <c r="G41" s="373">
        <v>1.0417431460757629</v>
      </c>
      <c r="H41" s="373">
        <v>1.0962260366607817</v>
      </c>
      <c r="I41" s="374">
        <v>1.0015007143653418</v>
      </c>
    </row>
    <row r="42" spans="1:9">
      <c r="A42" s="107">
        <v>6</v>
      </c>
      <c r="B42" s="17" t="s">
        <v>21</v>
      </c>
      <c r="C42" s="14">
        <v>545406</v>
      </c>
      <c r="D42" s="373">
        <v>1.0213001181163404</v>
      </c>
      <c r="E42" s="373">
        <v>0.99451081112390127</v>
      </c>
      <c r="F42" s="373">
        <v>0.96029363015151548</v>
      </c>
      <c r="G42" s="373">
        <v>1.0050771692615617</v>
      </c>
      <c r="H42" s="373">
        <v>0.96615975592534065</v>
      </c>
      <c r="I42" s="374">
        <v>0.94627389091463765</v>
      </c>
    </row>
    <row r="43" spans="1:9">
      <c r="A43" s="107">
        <v>7</v>
      </c>
      <c r="B43" s="17" t="s">
        <v>22</v>
      </c>
      <c r="C43" s="14">
        <v>204635</v>
      </c>
      <c r="D43" s="373">
        <v>1.0573450130702908</v>
      </c>
      <c r="E43" s="373">
        <v>1.1308861446891263</v>
      </c>
      <c r="F43" s="373">
        <v>1.0638769737220446</v>
      </c>
      <c r="G43" s="373">
        <v>1.0739114301847981</v>
      </c>
      <c r="H43" s="373">
        <v>1.1521890047819492</v>
      </c>
      <c r="I43" s="374">
        <v>1.0568617183702305</v>
      </c>
    </row>
    <row r="44" spans="1:9">
      <c r="A44" s="107">
        <v>8</v>
      </c>
      <c r="B44" s="17" t="s">
        <v>23</v>
      </c>
      <c r="C44" s="14">
        <v>157442</v>
      </c>
      <c r="D44" s="373">
        <v>1.1384653986515851</v>
      </c>
      <c r="E44" s="373">
        <v>1.416258454055368</v>
      </c>
      <c r="F44" s="373">
        <v>1.1564403259479279</v>
      </c>
      <c r="G44" s="373">
        <v>1.1119966276966418</v>
      </c>
      <c r="H44" s="373">
        <v>1.3875884301987593</v>
      </c>
      <c r="I44" s="374">
        <v>1.1433077776999201</v>
      </c>
    </row>
    <row r="45" spans="1:9">
      <c r="A45" s="107">
        <v>9</v>
      </c>
      <c r="B45" s="17" t="s">
        <v>24</v>
      </c>
      <c r="C45" s="14">
        <v>125083</v>
      </c>
      <c r="D45" s="373">
        <v>1.0164418770448733</v>
      </c>
      <c r="E45" s="373">
        <v>1.1877830566158472</v>
      </c>
      <c r="F45" s="373">
        <v>0.97743378408444814</v>
      </c>
      <c r="G45" s="373">
        <v>0.98883263946034083</v>
      </c>
      <c r="H45" s="373">
        <v>1.1382757447421763</v>
      </c>
      <c r="I45" s="374">
        <v>0.94190952291754382</v>
      </c>
    </row>
    <row r="46" spans="1:9">
      <c r="A46" s="107">
        <v>10</v>
      </c>
      <c r="B46" s="17" t="s">
        <v>25</v>
      </c>
      <c r="C46" s="14">
        <v>129376</v>
      </c>
      <c r="D46" s="373">
        <v>1.1396786317322491</v>
      </c>
      <c r="E46" s="373">
        <v>1.4750973511486627</v>
      </c>
      <c r="F46" s="373">
        <v>1.1956489209106902</v>
      </c>
      <c r="G46" s="373">
        <v>1.1707296529891167</v>
      </c>
      <c r="H46" s="373">
        <v>1.4818099289987885</v>
      </c>
      <c r="I46" s="374">
        <v>1.204428185817854</v>
      </c>
    </row>
    <row r="47" spans="1:9">
      <c r="A47" s="107">
        <v>11</v>
      </c>
      <c r="B47" s="17" t="s">
        <v>26</v>
      </c>
      <c r="C47" s="14">
        <v>248815</v>
      </c>
      <c r="D47" s="373">
        <v>1.1002037396699853</v>
      </c>
      <c r="E47" s="373">
        <v>1.2149130539413637</v>
      </c>
      <c r="F47" s="373">
        <v>1.1832653129707686</v>
      </c>
      <c r="G47" s="373">
        <v>1.080541527439937</v>
      </c>
      <c r="H47" s="373">
        <v>1.1804839703831211</v>
      </c>
      <c r="I47" s="374">
        <v>1.1797716596781209</v>
      </c>
    </row>
    <row r="48" spans="1:9">
      <c r="A48" s="107">
        <v>12</v>
      </c>
      <c r="B48" s="17" t="s">
        <v>27</v>
      </c>
      <c r="C48" s="14">
        <v>162091</v>
      </c>
      <c r="D48" s="373">
        <v>1.1698130770311377</v>
      </c>
      <c r="E48" s="373">
        <v>1.309325861820015</v>
      </c>
      <c r="F48" s="373">
        <v>1.2627908997645836</v>
      </c>
      <c r="G48" s="373">
        <v>1.2143090658381843</v>
      </c>
      <c r="H48" s="373">
        <v>1.341175343322178</v>
      </c>
      <c r="I48" s="374">
        <v>1.279524058989771</v>
      </c>
    </row>
    <row r="49" spans="1:9">
      <c r="A49" s="107">
        <v>13</v>
      </c>
      <c r="B49" s="17" t="s">
        <v>28</v>
      </c>
      <c r="C49" s="14">
        <v>274112</v>
      </c>
      <c r="D49" s="373">
        <v>0.97043312652258262</v>
      </c>
      <c r="E49" s="373">
        <v>1.0133199023131423</v>
      </c>
      <c r="F49" s="373">
        <v>1.0169666177877283</v>
      </c>
      <c r="G49" s="373">
        <v>0.96946691876101065</v>
      </c>
      <c r="H49" s="373">
        <v>1.0128826713373202</v>
      </c>
      <c r="I49" s="374">
        <v>1.0219867108084175</v>
      </c>
    </row>
    <row r="50" spans="1:9">
      <c r="A50" s="107">
        <v>14</v>
      </c>
      <c r="B50" s="17" t="s">
        <v>29</v>
      </c>
      <c r="C50" s="14">
        <v>189929</v>
      </c>
      <c r="D50" s="373">
        <v>1.0725562056474982</v>
      </c>
      <c r="E50" s="373">
        <v>1.2642767910890969</v>
      </c>
      <c r="F50" s="373">
        <v>1.0720867323913625</v>
      </c>
      <c r="G50" s="373">
        <v>1.1138120776493103</v>
      </c>
      <c r="H50" s="373">
        <v>1.2873085069093269</v>
      </c>
      <c r="I50" s="374">
        <v>1.1151846630844904</v>
      </c>
    </row>
    <row r="51" spans="1:9">
      <c r="A51" s="107">
        <v>15</v>
      </c>
      <c r="B51" s="17" t="s">
        <v>30</v>
      </c>
      <c r="C51" s="14">
        <v>178749</v>
      </c>
      <c r="D51" s="373">
        <v>0.95088694595990719</v>
      </c>
      <c r="E51" s="373">
        <v>0.95661155847960799</v>
      </c>
      <c r="F51" s="373">
        <v>0.84429846734273639</v>
      </c>
      <c r="G51" s="373">
        <v>0.93234726975977567</v>
      </c>
      <c r="H51" s="373">
        <v>0.93644467573264101</v>
      </c>
      <c r="I51" s="374">
        <v>0.81594700195725145</v>
      </c>
    </row>
    <row r="52" spans="1:9">
      <c r="A52" s="107">
        <v>16</v>
      </c>
      <c r="B52" s="17" t="s">
        <v>31</v>
      </c>
      <c r="C52" s="14">
        <v>67723</v>
      </c>
      <c r="D52" s="373">
        <v>1.0856138701168554</v>
      </c>
      <c r="E52" s="373">
        <v>1.1995876122545084</v>
      </c>
      <c r="F52" s="373">
        <v>1.182750932340392</v>
      </c>
      <c r="G52" s="373">
        <v>1.0694988622244217</v>
      </c>
      <c r="H52" s="373">
        <v>1.1477605726663285</v>
      </c>
      <c r="I52" s="374">
        <v>1.1857476859284886</v>
      </c>
    </row>
    <row r="53" spans="1:9">
      <c r="A53" s="107">
        <v>17</v>
      </c>
      <c r="B53" s="17" t="s">
        <v>32</v>
      </c>
      <c r="C53" s="14">
        <v>418331</v>
      </c>
      <c r="D53" s="373">
        <v>0.98273028594001377</v>
      </c>
      <c r="E53" s="373">
        <v>0.97928061693777835</v>
      </c>
      <c r="F53" s="373">
        <v>1.1943448110595196</v>
      </c>
      <c r="G53" s="373">
        <v>0.96519660956918163</v>
      </c>
      <c r="H53" s="373">
        <v>0.96740338432020667</v>
      </c>
      <c r="I53" s="374">
        <v>1.2083901809619562</v>
      </c>
    </row>
    <row r="54" spans="1:9">
      <c r="A54" s="107">
        <v>18</v>
      </c>
      <c r="B54" s="17" t="s">
        <v>33</v>
      </c>
      <c r="C54" s="14">
        <v>69639</v>
      </c>
      <c r="D54" s="373">
        <v>1.1354194361113212</v>
      </c>
      <c r="E54" s="373">
        <v>1.4268367441448488</v>
      </c>
      <c r="F54" s="373">
        <v>1.2478566768460739</v>
      </c>
      <c r="G54" s="373">
        <v>1.1384335482462677</v>
      </c>
      <c r="H54" s="373">
        <v>1.4019550693122194</v>
      </c>
      <c r="I54" s="374">
        <v>1.258278991359129</v>
      </c>
    </row>
    <row r="55" spans="1:9">
      <c r="A55" s="228">
        <v>19</v>
      </c>
      <c r="B55" s="229" t="s">
        <v>34</v>
      </c>
      <c r="C55" s="230">
        <v>176151</v>
      </c>
      <c r="D55" s="375">
        <v>1.1208387238132704</v>
      </c>
      <c r="E55" s="375">
        <v>1.2525687845090834</v>
      </c>
      <c r="F55" s="375">
        <v>1.337031765399386</v>
      </c>
      <c r="G55" s="375">
        <v>1.1131992196090499</v>
      </c>
      <c r="H55" s="375">
        <v>1.2287309455202087</v>
      </c>
      <c r="I55" s="376">
        <v>1.3369400879119739</v>
      </c>
    </row>
    <row r="56" spans="1:9">
      <c r="A56" s="224"/>
      <c r="B56" s="224"/>
      <c r="C56" s="324">
        <v>5605317</v>
      </c>
      <c r="D56" s="309"/>
      <c r="E56" s="309"/>
      <c r="F56" s="309"/>
      <c r="G56" s="355">
        <v>1</v>
      </c>
      <c r="H56" s="355">
        <v>1</v>
      </c>
      <c r="I56" s="355">
        <v>1</v>
      </c>
    </row>
    <row r="57" spans="1:9">
      <c r="D57" s="149"/>
      <c r="E57" s="149"/>
      <c r="F57" s="149"/>
      <c r="G57" s="149"/>
      <c r="H57" s="149"/>
      <c r="I57" s="149"/>
    </row>
  </sheetData>
  <mergeCells count="1">
    <mergeCell ref="A4:G4"/>
  </mergeCells>
  <pageMargins left="0.7" right="0.7" top="0.75" bottom="0.75" header="0.3" footer="0.3"/>
  <pageSetup paperSize="9" orientation="portrait" r:id="rId1"/>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A1:Y58"/>
  <sheetViews>
    <sheetView zoomScale="85" zoomScaleNormal="85" workbookViewId="0"/>
  </sheetViews>
  <sheetFormatPr defaultRowHeight="14"/>
  <cols>
    <col min="1" max="1" width="20.25" customWidth="1"/>
    <col min="2" max="2" width="25.25" customWidth="1"/>
    <col min="3" max="3" width="19.33203125" customWidth="1"/>
    <col min="4" max="4" width="23.25" customWidth="1"/>
    <col min="5" max="5" width="22.75" customWidth="1"/>
    <col min="6" max="6" width="20.58203125" customWidth="1"/>
    <col min="7" max="7" width="17.75" customWidth="1"/>
    <col min="8" max="8" width="18.25" customWidth="1"/>
    <col min="9" max="9" width="20.33203125" customWidth="1"/>
    <col min="10" max="10" width="18.25" customWidth="1"/>
    <col min="11" max="11" width="17.08203125" customWidth="1"/>
    <col min="12" max="12" width="18" customWidth="1"/>
    <col min="13" max="13" width="12.58203125" customWidth="1"/>
    <col min="17" max="17" width="8.83203125" bestFit="1" customWidth="1"/>
  </cols>
  <sheetData>
    <row r="1" spans="1:14" ht="18">
      <c r="A1" s="186" t="s">
        <v>5</v>
      </c>
      <c r="B1" s="5"/>
      <c r="C1" s="5"/>
      <c r="D1" s="5"/>
      <c r="E1" s="5"/>
      <c r="F1" s="5"/>
      <c r="G1" s="5"/>
      <c r="H1" s="5"/>
      <c r="I1" s="5"/>
      <c r="J1" s="6"/>
      <c r="K1" s="5"/>
      <c r="L1" s="5"/>
      <c r="M1" s="5"/>
      <c r="N1" s="5"/>
    </row>
    <row r="2" spans="1:14">
      <c r="A2" t="str">
        <f>INFO!A2</f>
        <v>VM/HVO 22.9.2025</v>
      </c>
      <c r="B2" s="5"/>
      <c r="C2" s="5"/>
      <c r="D2" s="5"/>
      <c r="E2" s="5"/>
      <c r="F2" s="5"/>
      <c r="G2" s="5"/>
      <c r="H2" s="5"/>
      <c r="I2" s="5"/>
      <c r="J2" s="6"/>
      <c r="K2" s="5"/>
      <c r="L2" s="5"/>
      <c r="M2" s="5"/>
      <c r="N2" s="5"/>
    </row>
    <row r="3" spans="1:14">
      <c r="B3" s="5"/>
      <c r="C3" s="5"/>
      <c r="D3" s="5"/>
      <c r="E3" s="5"/>
      <c r="F3" s="5"/>
      <c r="G3" s="5"/>
      <c r="H3" s="5"/>
      <c r="I3" s="5"/>
      <c r="J3" s="6"/>
      <c r="K3" s="5"/>
      <c r="L3" s="5"/>
      <c r="M3" s="5"/>
      <c r="N3" s="5"/>
    </row>
    <row r="4" spans="1:14" s="3" customFormat="1" ht="17" thickBot="1">
      <c r="A4" s="175" t="s">
        <v>245</v>
      </c>
      <c r="B4" s="4"/>
      <c r="C4" s="4"/>
      <c r="D4" s="4"/>
      <c r="E4" s="7"/>
      <c r="F4" s="7"/>
      <c r="G4" s="7"/>
      <c r="H4" s="7"/>
      <c r="I4" s="7"/>
      <c r="J4" s="7"/>
      <c r="K4" s="2"/>
      <c r="L4" s="2"/>
      <c r="M4" s="2"/>
      <c r="N4" s="2"/>
    </row>
    <row r="5" spans="1:14" s="3" customFormat="1" ht="14.5" thickTop="1">
      <c r="A5" s="233" t="s">
        <v>390</v>
      </c>
      <c r="B5" s="4"/>
      <c r="C5" s="7"/>
      <c r="D5" s="7"/>
      <c r="E5" s="7"/>
      <c r="F5" s="7"/>
      <c r="G5" s="7"/>
      <c r="H5" s="7"/>
      <c r="I5" s="7"/>
      <c r="J5" s="7"/>
      <c r="K5" s="2"/>
      <c r="L5" s="2"/>
      <c r="M5" s="2"/>
      <c r="N5" s="2"/>
    </row>
    <row r="6" spans="1:14" s="3" customFormat="1" ht="14.5">
      <c r="A6" s="514" t="s">
        <v>417</v>
      </c>
      <c r="B6" s="4"/>
      <c r="C6" s="7"/>
      <c r="D6" s="7"/>
      <c r="E6" s="7"/>
      <c r="F6" s="7"/>
      <c r="G6" s="7"/>
      <c r="H6" s="7"/>
      <c r="I6" s="7"/>
      <c r="J6" s="7"/>
      <c r="K6" s="2"/>
      <c r="L6" s="2"/>
      <c r="M6" s="2"/>
      <c r="N6" s="2"/>
    </row>
    <row r="7" spans="1:14" s="3" customFormat="1" ht="62.5" customHeight="1">
      <c r="A7" s="158" t="s">
        <v>6</v>
      </c>
      <c r="B7" s="158" t="s">
        <v>7</v>
      </c>
      <c r="C7" s="11" t="s">
        <v>229</v>
      </c>
      <c r="D7" s="11" t="s">
        <v>8</v>
      </c>
      <c r="E7" s="11" t="s">
        <v>9</v>
      </c>
      <c r="F7" s="11" t="s">
        <v>10</v>
      </c>
      <c r="G7" s="11" t="s">
        <v>11</v>
      </c>
      <c r="H7" s="11" t="s">
        <v>12</v>
      </c>
      <c r="I7" s="11" t="s">
        <v>37</v>
      </c>
      <c r="J7" s="161" t="s">
        <v>13</v>
      </c>
      <c r="K7" s="143"/>
      <c r="L7" s="2"/>
      <c r="M7" s="2"/>
      <c r="N7" s="2"/>
    </row>
    <row r="8" spans="1:14" s="3" customFormat="1">
      <c r="A8" s="159">
        <v>31</v>
      </c>
      <c r="B8" s="13" t="s">
        <v>14</v>
      </c>
      <c r="C8" s="172">
        <v>684018</v>
      </c>
      <c r="D8" s="172">
        <v>36945</v>
      </c>
      <c r="E8" s="172"/>
      <c r="F8" s="172">
        <v>139832</v>
      </c>
      <c r="G8" s="416">
        <v>214.58</v>
      </c>
      <c r="H8" s="416">
        <f>C8/G8</f>
        <v>3187.7062167956005</v>
      </c>
      <c r="I8" s="235">
        <f t="shared" ref="I8:I30" si="0">$H$30/H8</f>
        <v>5.814018167768914E-3</v>
      </c>
      <c r="J8" s="172"/>
      <c r="K8" s="240"/>
      <c r="L8" s="2"/>
      <c r="M8" s="2"/>
      <c r="N8" s="2"/>
    </row>
    <row r="9" spans="1:14" s="3" customFormat="1">
      <c r="A9" s="160">
        <v>32</v>
      </c>
      <c r="B9" s="17" t="s">
        <v>41</v>
      </c>
      <c r="C9" s="173">
        <v>289730</v>
      </c>
      <c r="D9" s="173">
        <v>5791</v>
      </c>
      <c r="E9" s="173"/>
      <c r="F9" s="173">
        <v>78809</v>
      </c>
      <c r="G9" s="417">
        <v>269.02999999999997</v>
      </c>
      <c r="H9" s="417">
        <f t="shared" ref="H9:H29" si="1">C9/G9</f>
        <v>1076.9430918484929</v>
      </c>
      <c r="I9" s="237">
        <f t="shared" si="0"/>
        <v>1.7209249029257766E-2</v>
      </c>
      <c r="J9" s="173"/>
      <c r="K9" s="8"/>
      <c r="L9" s="2"/>
      <c r="M9" s="2"/>
      <c r="N9" s="2"/>
    </row>
    <row r="10" spans="1:14" s="3" customFormat="1">
      <c r="A10" s="160">
        <v>33</v>
      </c>
      <c r="B10" s="17" t="s">
        <v>15</v>
      </c>
      <c r="C10" s="173">
        <v>502067</v>
      </c>
      <c r="D10" s="173">
        <v>56271</v>
      </c>
      <c r="E10" s="173"/>
      <c r="F10" s="173">
        <v>95640</v>
      </c>
      <c r="G10" s="417">
        <v>4252.76</v>
      </c>
      <c r="H10" s="417">
        <f t="shared" si="1"/>
        <v>118.05674432603767</v>
      </c>
      <c r="I10" s="237">
        <f t="shared" si="0"/>
        <v>0.15698706553160433</v>
      </c>
      <c r="J10" s="173"/>
      <c r="K10" s="8"/>
      <c r="L10" s="2"/>
      <c r="M10" s="2"/>
      <c r="N10" s="2"/>
    </row>
    <row r="11" spans="1:14" s="3" customFormat="1">
      <c r="A11" s="160">
        <v>34</v>
      </c>
      <c r="B11" s="17" t="s">
        <v>16</v>
      </c>
      <c r="C11" s="173">
        <v>99415</v>
      </c>
      <c r="D11" s="173">
        <v>27079</v>
      </c>
      <c r="E11" s="173"/>
      <c r="F11" s="173">
        <v>7922</v>
      </c>
      <c r="G11" s="417">
        <v>2702.55</v>
      </c>
      <c r="H11" s="417">
        <f t="shared" si="1"/>
        <v>36.785628388003921</v>
      </c>
      <c r="I11" s="237">
        <f t="shared" si="0"/>
        <v>0.50382126580725783</v>
      </c>
      <c r="J11" s="173"/>
      <c r="K11" s="8"/>
      <c r="L11" s="2"/>
      <c r="M11" s="2"/>
      <c r="N11" s="2"/>
    </row>
    <row r="12" spans="1:14" s="3" customFormat="1">
      <c r="A12" s="160">
        <v>35</v>
      </c>
      <c r="B12" s="17" t="s">
        <v>17</v>
      </c>
      <c r="C12" s="173">
        <v>207070</v>
      </c>
      <c r="D12" s="173"/>
      <c r="E12" s="173"/>
      <c r="F12" s="173">
        <v>17277</v>
      </c>
      <c r="G12" s="417">
        <v>1669.72</v>
      </c>
      <c r="H12" s="417">
        <f t="shared" si="1"/>
        <v>124.01480487746448</v>
      </c>
      <c r="I12" s="237">
        <f t="shared" si="0"/>
        <v>0.14944491406708935</v>
      </c>
      <c r="J12" s="173"/>
      <c r="K12" s="9"/>
      <c r="L12" s="2"/>
      <c r="M12" s="2"/>
      <c r="N12" s="2"/>
    </row>
    <row r="13" spans="1:14" s="3" customFormat="1">
      <c r="A13" s="17">
        <v>2</v>
      </c>
      <c r="B13" s="17" t="s">
        <v>18</v>
      </c>
      <c r="C13" s="173">
        <v>494819</v>
      </c>
      <c r="D13" s="173">
        <v>27561</v>
      </c>
      <c r="E13" s="173"/>
      <c r="F13" s="173">
        <v>54605</v>
      </c>
      <c r="G13" s="417">
        <v>10676.55</v>
      </c>
      <c r="H13" s="417">
        <f t="shared" si="1"/>
        <v>46.346338470760692</v>
      </c>
      <c r="I13" s="237">
        <f t="shared" si="0"/>
        <v>0.39988880393759701</v>
      </c>
      <c r="J13" s="173">
        <v>21871</v>
      </c>
      <c r="K13" s="8"/>
      <c r="L13" s="2"/>
      <c r="M13" s="2"/>
      <c r="N13" s="2"/>
    </row>
    <row r="14" spans="1:14" s="3" customFormat="1">
      <c r="A14" s="17">
        <v>4</v>
      </c>
      <c r="B14" s="17" t="s">
        <v>19</v>
      </c>
      <c r="C14" s="173">
        <v>211261</v>
      </c>
      <c r="D14" s="173"/>
      <c r="E14" s="173"/>
      <c r="F14" s="173">
        <v>12572</v>
      </c>
      <c r="G14" s="417">
        <v>7823.27</v>
      </c>
      <c r="H14" s="417">
        <f t="shared" si="1"/>
        <v>27.004181116080613</v>
      </c>
      <c r="I14" s="237">
        <f t="shared" si="0"/>
        <v>0.68631527015359717</v>
      </c>
      <c r="J14" s="173"/>
      <c r="K14" s="8"/>
      <c r="L14" s="2"/>
      <c r="M14" s="2"/>
      <c r="N14" s="2"/>
    </row>
    <row r="15" spans="1:14" s="3" customFormat="1">
      <c r="A15" s="17">
        <v>5</v>
      </c>
      <c r="B15" s="17" t="s">
        <v>20</v>
      </c>
      <c r="C15" s="173">
        <v>169455</v>
      </c>
      <c r="D15" s="173"/>
      <c r="E15" s="173"/>
      <c r="F15" s="173">
        <v>11117</v>
      </c>
      <c r="G15" s="417">
        <v>5199.66</v>
      </c>
      <c r="H15" s="417">
        <f t="shared" si="1"/>
        <v>32.589630860479339</v>
      </c>
      <c r="I15" s="237">
        <f t="shared" si="0"/>
        <v>0.56868953003191325</v>
      </c>
      <c r="J15" s="173"/>
      <c r="K15" s="8"/>
      <c r="L15" s="2"/>
      <c r="M15" s="2"/>
      <c r="N15" s="2"/>
    </row>
    <row r="16" spans="1:14" s="3" customFormat="1">
      <c r="A16" s="17">
        <v>6</v>
      </c>
      <c r="B16" s="17" t="s">
        <v>21</v>
      </c>
      <c r="C16" s="173">
        <v>545406</v>
      </c>
      <c r="D16" s="173"/>
      <c r="E16" s="173"/>
      <c r="F16" s="173">
        <v>40361</v>
      </c>
      <c r="G16" s="417">
        <v>13249.05</v>
      </c>
      <c r="H16" s="417">
        <f t="shared" si="1"/>
        <v>41.16566848189116</v>
      </c>
      <c r="I16" s="237">
        <f t="shared" si="0"/>
        <v>0.45021452441887094</v>
      </c>
      <c r="J16" s="173"/>
      <c r="K16" s="8"/>
      <c r="L16" s="2"/>
      <c r="M16" s="2"/>
      <c r="N16" s="2"/>
    </row>
    <row r="17" spans="1:14" s="3" customFormat="1">
      <c r="A17" s="17">
        <v>7</v>
      </c>
      <c r="B17" s="17" t="s">
        <v>22</v>
      </c>
      <c r="C17" s="173">
        <v>204635</v>
      </c>
      <c r="D17" s="173"/>
      <c r="E17" s="173"/>
      <c r="F17" s="173">
        <v>15996</v>
      </c>
      <c r="G17" s="417">
        <v>5715.66</v>
      </c>
      <c r="H17" s="417">
        <f t="shared" si="1"/>
        <v>35.802514495263893</v>
      </c>
      <c r="I17" s="237">
        <f t="shared" si="0"/>
        <v>0.5176558719195884</v>
      </c>
      <c r="J17" s="173"/>
      <c r="K17" s="8"/>
      <c r="L17" s="2"/>
      <c r="M17" s="2"/>
      <c r="N17" s="2"/>
    </row>
    <row r="18" spans="1:14" s="3" customFormat="1">
      <c r="A18" s="17">
        <v>8</v>
      </c>
      <c r="B18" s="17" t="s">
        <v>23</v>
      </c>
      <c r="C18" s="173">
        <v>157442</v>
      </c>
      <c r="D18" s="173">
        <v>1163</v>
      </c>
      <c r="E18" s="173"/>
      <c r="F18" s="173">
        <v>12390</v>
      </c>
      <c r="G18" s="417">
        <v>4559.45</v>
      </c>
      <c r="H18" s="417">
        <f t="shared" si="1"/>
        <v>34.530919299476913</v>
      </c>
      <c r="I18" s="237">
        <f t="shared" si="0"/>
        <v>0.53671846084446073</v>
      </c>
      <c r="J18" s="173"/>
      <c r="K18" s="8"/>
      <c r="L18" s="2"/>
      <c r="M18" s="2"/>
      <c r="N18" s="2"/>
    </row>
    <row r="19" spans="1:14" s="3" customFormat="1">
      <c r="A19" s="17">
        <v>9</v>
      </c>
      <c r="B19" s="17" t="s">
        <v>24</v>
      </c>
      <c r="C19" s="173">
        <v>125083</v>
      </c>
      <c r="D19" s="173"/>
      <c r="E19" s="173"/>
      <c r="F19" s="173">
        <v>11799</v>
      </c>
      <c r="G19" s="417">
        <v>5327.34</v>
      </c>
      <c r="H19" s="417">
        <f t="shared" si="1"/>
        <v>23.479447529160893</v>
      </c>
      <c r="I19" s="237">
        <f t="shared" si="0"/>
        <v>0.78934488705245431</v>
      </c>
      <c r="J19" s="173"/>
      <c r="K19" s="8"/>
      <c r="L19" s="2"/>
      <c r="M19" s="2"/>
      <c r="N19" s="2"/>
    </row>
    <row r="20" spans="1:14" s="3" customFormat="1">
      <c r="A20" s="17">
        <v>10</v>
      </c>
      <c r="B20" s="17" t="s">
        <v>25</v>
      </c>
      <c r="C20" s="173">
        <v>129376</v>
      </c>
      <c r="D20" s="173"/>
      <c r="E20" s="173"/>
      <c r="F20" s="173">
        <v>7545</v>
      </c>
      <c r="G20" s="417">
        <v>12652.86</v>
      </c>
      <c r="H20" s="417">
        <f t="shared" si="1"/>
        <v>10.225040030475324</v>
      </c>
      <c r="I20" s="237">
        <f t="shared" si="0"/>
        <v>1.8125485868731592</v>
      </c>
      <c r="J20" s="173">
        <v>5620</v>
      </c>
      <c r="K20" s="8"/>
      <c r="L20" s="2"/>
      <c r="M20" s="2"/>
      <c r="N20" s="2"/>
    </row>
    <row r="21" spans="1:14" s="3" customFormat="1">
      <c r="A21" s="17">
        <v>11</v>
      </c>
      <c r="B21" s="17" t="s">
        <v>26</v>
      </c>
      <c r="C21" s="173">
        <v>248815</v>
      </c>
      <c r="D21" s="173"/>
      <c r="E21" s="173"/>
      <c r="F21" s="173">
        <v>13079</v>
      </c>
      <c r="G21" s="417">
        <v>17346.16</v>
      </c>
      <c r="H21" s="417">
        <f t="shared" si="1"/>
        <v>14.344096906750543</v>
      </c>
      <c r="I21" s="237">
        <f t="shared" si="0"/>
        <v>1.2920563754165277</v>
      </c>
      <c r="J21" s="173"/>
      <c r="K21" s="8"/>
      <c r="L21" s="2"/>
      <c r="M21" s="2"/>
      <c r="N21" s="2"/>
    </row>
    <row r="22" spans="1:14" s="3" customFormat="1">
      <c r="A22" s="17">
        <v>12</v>
      </c>
      <c r="B22" s="17" t="s">
        <v>27</v>
      </c>
      <c r="C22" s="173">
        <v>162091</v>
      </c>
      <c r="D22" s="173"/>
      <c r="E22" s="173"/>
      <c r="F22" s="173">
        <v>10668</v>
      </c>
      <c r="G22" s="417">
        <v>18794.02</v>
      </c>
      <c r="H22" s="417">
        <f t="shared" si="1"/>
        <v>8.6246050605458535</v>
      </c>
      <c r="I22" s="237">
        <f t="shared" si="0"/>
        <v>2.1488962947117893</v>
      </c>
      <c r="J22" s="173"/>
      <c r="K22" s="8"/>
      <c r="L22" s="2"/>
      <c r="M22" s="2"/>
      <c r="N22" s="2"/>
    </row>
    <row r="23" spans="1:14" s="3" customFormat="1">
      <c r="A23" s="17">
        <v>13</v>
      </c>
      <c r="B23" s="17" t="s">
        <v>28</v>
      </c>
      <c r="C23" s="173">
        <v>274112</v>
      </c>
      <c r="D23" s="173"/>
      <c r="E23" s="173"/>
      <c r="F23" s="173">
        <v>15016</v>
      </c>
      <c r="G23" s="417">
        <v>16042.63</v>
      </c>
      <c r="H23" s="417">
        <f t="shared" si="1"/>
        <v>17.086475222578841</v>
      </c>
      <c r="I23" s="237">
        <f t="shared" si="0"/>
        <v>1.0846813995591487</v>
      </c>
      <c r="J23" s="173"/>
      <c r="K23" s="8"/>
      <c r="L23" s="2"/>
      <c r="M23" s="2"/>
      <c r="N23" s="2"/>
    </row>
    <row r="24" spans="1:14" s="3" customFormat="1">
      <c r="A24" s="17">
        <v>14</v>
      </c>
      <c r="B24" s="17" t="s">
        <v>29</v>
      </c>
      <c r="C24" s="173">
        <v>189929</v>
      </c>
      <c r="D24" s="173"/>
      <c r="E24" s="173"/>
      <c r="F24" s="173">
        <v>8229</v>
      </c>
      <c r="G24" s="417">
        <v>13798.61</v>
      </c>
      <c r="H24" s="417">
        <f t="shared" si="1"/>
        <v>13.76435742440724</v>
      </c>
      <c r="I24" s="237">
        <f t="shared" si="0"/>
        <v>1.3464763582131165</v>
      </c>
      <c r="J24" s="173"/>
      <c r="K24" s="8"/>
      <c r="L24" s="2"/>
      <c r="M24" s="2"/>
      <c r="N24" s="2"/>
    </row>
    <row r="25" spans="1:14" s="3" customFormat="1">
      <c r="A25" s="17">
        <v>15</v>
      </c>
      <c r="B25" s="17" t="s">
        <v>30</v>
      </c>
      <c r="C25" s="173">
        <v>178749</v>
      </c>
      <c r="D25" s="173">
        <v>88370</v>
      </c>
      <c r="E25" s="173"/>
      <c r="F25" s="173">
        <v>19104</v>
      </c>
      <c r="G25" s="417">
        <v>7403.06</v>
      </c>
      <c r="H25" s="417">
        <f t="shared" si="1"/>
        <v>24.14528586827609</v>
      </c>
      <c r="I25" s="237">
        <f t="shared" si="0"/>
        <v>0.7675776530072107</v>
      </c>
      <c r="J25" s="173">
        <v>5373</v>
      </c>
      <c r="K25" s="8"/>
      <c r="L25" s="2"/>
      <c r="M25" s="2"/>
      <c r="N25" s="2"/>
    </row>
    <row r="26" spans="1:14" s="3" customFormat="1">
      <c r="A26" s="17">
        <v>16</v>
      </c>
      <c r="B26" s="17" t="s">
        <v>31</v>
      </c>
      <c r="C26" s="173">
        <v>67723</v>
      </c>
      <c r="D26" s="173">
        <v>5901</v>
      </c>
      <c r="E26" s="173"/>
      <c r="F26" s="173">
        <v>3285</v>
      </c>
      <c r="G26" s="417">
        <v>5020.51</v>
      </c>
      <c r="H26" s="417">
        <f t="shared" si="1"/>
        <v>13.489267026656654</v>
      </c>
      <c r="I26" s="237">
        <f t="shared" si="0"/>
        <v>1.37393542742797</v>
      </c>
      <c r="J26" s="173"/>
      <c r="K26" s="8"/>
      <c r="L26" s="2"/>
      <c r="M26" s="2"/>
      <c r="N26" s="2"/>
    </row>
    <row r="27" spans="1:14" s="3" customFormat="1">
      <c r="A27" s="17">
        <v>17</v>
      </c>
      <c r="B27" s="17" t="s">
        <v>32</v>
      </c>
      <c r="C27" s="173">
        <v>418331</v>
      </c>
      <c r="D27" s="173"/>
      <c r="E27" s="173"/>
      <c r="F27" s="173">
        <v>19335</v>
      </c>
      <c r="G27" s="417">
        <v>36832.47</v>
      </c>
      <c r="H27" s="417">
        <f t="shared" si="1"/>
        <v>11.35766892635764</v>
      </c>
      <c r="I27" s="237">
        <f t="shared" si="0"/>
        <v>1.6317945150654358</v>
      </c>
      <c r="J27" s="173">
        <v>912</v>
      </c>
      <c r="K27" s="8"/>
      <c r="L27" s="2"/>
      <c r="M27" s="2"/>
      <c r="N27" s="2"/>
    </row>
    <row r="28" spans="1:14" s="3" customFormat="1">
      <c r="A28" s="17">
        <v>18</v>
      </c>
      <c r="B28" s="17" t="s">
        <v>33</v>
      </c>
      <c r="C28" s="173">
        <v>69639</v>
      </c>
      <c r="D28" s="173"/>
      <c r="E28" s="173"/>
      <c r="F28" s="173">
        <v>4082</v>
      </c>
      <c r="G28" s="417">
        <v>20198.830000000002</v>
      </c>
      <c r="H28" s="417">
        <f t="shared" si="1"/>
        <v>3.4476749395880848</v>
      </c>
      <c r="I28" s="237">
        <f t="shared" si="0"/>
        <v>5.3756175343415151</v>
      </c>
      <c r="J28" s="173"/>
      <c r="K28" s="8"/>
      <c r="L28" s="2"/>
      <c r="M28" s="2"/>
      <c r="N28" s="2"/>
    </row>
    <row r="29" spans="1:14" s="3" customFormat="1">
      <c r="A29" s="17">
        <v>19</v>
      </c>
      <c r="B29" s="17" t="s">
        <v>34</v>
      </c>
      <c r="C29" s="173">
        <v>176151</v>
      </c>
      <c r="D29" s="173"/>
      <c r="E29" s="173">
        <v>1587</v>
      </c>
      <c r="F29" s="173">
        <v>8341</v>
      </c>
      <c r="G29" s="417">
        <v>92695.6</v>
      </c>
      <c r="H29" s="417">
        <f t="shared" si="1"/>
        <v>1.9003167356379373</v>
      </c>
      <c r="I29" s="237">
        <f t="shared" si="0"/>
        <v>9.7527856858756063</v>
      </c>
      <c r="J29" s="173"/>
      <c r="K29" s="8"/>
      <c r="L29" s="2"/>
      <c r="M29" s="2"/>
      <c r="N29" s="2"/>
    </row>
    <row r="30" spans="1:14" s="3" customFormat="1">
      <c r="A30" s="17"/>
      <c r="B30" s="19" t="s">
        <v>35</v>
      </c>
      <c r="C30" s="174">
        <v>5605317</v>
      </c>
      <c r="D30" s="174">
        <v>249081</v>
      </c>
      <c r="E30" s="174">
        <v>1587</v>
      </c>
      <c r="F30" s="174">
        <v>607004</v>
      </c>
      <c r="G30" s="418">
        <v>302444.37</v>
      </c>
      <c r="H30" s="418">
        <f t="shared" ref="H30" si="2">C30/G30</f>
        <v>18.533381857959533</v>
      </c>
      <c r="I30" s="238">
        <f t="shared" si="0"/>
        <v>1</v>
      </c>
      <c r="J30" s="174">
        <v>33776</v>
      </c>
      <c r="K30" s="8"/>
      <c r="L30" s="8"/>
      <c r="M30" s="8"/>
      <c r="N30" s="8"/>
    </row>
    <row r="31" spans="1:14" s="3" customFormat="1">
      <c r="A31" s="112"/>
      <c r="B31" s="112"/>
      <c r="C31" s="113"/>
      <c r="D31" s="112"/>
      <c r="E31" s="112"/>
      <c r="F31" s="112"/>
      <c r="G31" s="112"/>
      <c r="H31" s="114"/>
      <c r="I31" s="113"/>
      <c r="J31" s="306"/>
      <c r="K31" s="8"/>
      <c r="L31" s="8"/>
      <c r="M31"/>
      <c r="N31" s="8"/>
    </row>
    <row r="32" spans="1:14" s="3" customFormat="1" ht="17" thickBot="1">
      <c r="A32" s="431" t="s">
        <v>389</v>
      </c>
      <c r="B32" s="116"/>
      <c r="C32" s="117"/>
      <c r="D32" s="116"/>
      <c r="E32" s="116"/>
      <c r="F32" s="120"/>
      <c r="G32" s="116"/>
      <c r="H32" s="118"/>
      <c r="I32" s="117"/>
      <c r="J32" s="119"/>
      <c r="K32" s="115"/>
      <c r="L32" s="115"/>
      <c r="M32"/>
      <c r="N32" s="2"/>
    </row>
    <row r="33" spans="1:23" s="3" customFormat="1" ht="14.5" thickTop="1">
      <c r="A33" s="251" t="s">
        <v>431</v>
      </c>
      <c r="B33" s="116"/>
      <c r="C33" s="117"/>
      <c r="D33" s="116"/>
      <c r="E33" s="116"/>
      <c r="F33" s="116"/>
      <c r="G33" s="116"/>
      <c r="H33" s="118"/>
      <c r="I33" s="117"/>
      <c r="J33" s="119"/>
      <c r="K33" s="115"/>
      <c r="L33" s="115"/>
      <c r="M33"/>
      <c r="N33" s="2"/>
    </row>
    <row r="34" spans="1:23" s="3" customFormat="1" ht="23.5" customHeight="1">
      <c r="A34" s="158" t="s">
        <v>6</v>
      </c>
      <c r="B34" s="158" t="s">
        <v>7</v>
      </c>
      <c r="C34" s="411" t="s">
        <v>229</v>
      </c>
      <c r="D34" s="411" t="s">
        <v>195</v>
      </c>
      <c r="E34" s="412" t="s">
        <v>12</v>
      </c>
      <c r="F34" s="411" t="s">
        <v>37</v>
      </c>
      <c r="G34" s="411" t="s">
        <v>433</v>
      </c>
      <c r="H34" s="411" t="s">
        <v>434</v>
      </c>
      <c r="I34" s="411" t="s">
        <v>435</v>
      </c>
      <c r="J34" s="411" t="s">
        <v>38</v>
      </c>
      <c r="K34" s="411" t="s">
        <v>39</v>
      </c>
      <c r="L34" s="411" t="s">
        <v>40</v>
      </c>
      <c r="M34"/>
      <c r="O34"/>
      <c r="P34"/>
      <c r="Q34"/>
      <c r="R34"/>
      <c r="S34"/>
      <c r="T34"/>
      <c r="U34"/>
      <c r="V34"/>
      <c r="W34"/>
    </row>
    <row r="35" spans="1:23" s="3" customFormat="1">
      <c r="A35" s="12">
        <v>31</v>
      </c>
      <c r="B35" s="13" t="s">
        <v>14</v>
      </c>
      <c r="C35" s="111">
        <f t="shared" ref="C35:C57" si="3">C8</f>
        <v>684018</v>
      </c>
      <c r="D35" s="172">
        <v>715.47</v>
      </c>
      <c r="E35" s="150">
        <f t="shared" ref="E35:E57" si="4">C35/D35</f>
        <v>956.04008553817766</v>
      </c>
      <c r="F35" s="151">
        <f t="shared" ref="F35:F57" si="5">$E$57/E35</f>
        <v>1.5527929174700713E-2</v>
      </c>
      <c r="G35" s="234">
        <v>120</v>
      </c>
      <c r="H35" s="234">
        <v>59</v>
      </c>
      <c r="I35" s="234">
        <v>21</v>
      </c>
      <c r="J35" s="234">
        <f>SUM(G35:I35)</f>
        <v>200</v>
      </c>
      <c r="K35" s="413">
        <f t="shared" ref="K35:K57" si="6">J35/C35</f>
        <v>2.9238996634591485E-4</v>
      </c>
      <c r="L35" s="156">
        <f t="shared" ref="L35:L57" si="7">K35/$K$57</f>
        <v>0.40120892264092639</v>
      </c>
      <c r="M35"/>
      <c r="O35"/>
      <c r="P35"/>
      <c r="Q35"/>
      <c r="R35"/>
      <c r="S35"/>
      <c r="T35"/>
      <c r="U35"/>
      <c r="V35"/>
      <c r="W35"/>
    </row>
    <row r="36" spans="1:23" s="3" customFormat="1">
      <c r="A36" s="16">
        <v>32</v>
      </c>
      <c r="B36" s="17" t="s">
        <v>41</v>
      </c>
      <c r="C36" s="14">
        <f t="shared" si="3"/>
        <v>289730</v>
      </c>
      <c r="D36" s="173">
        <v>271.13</v>
      </c>
      <c r="E36" s="152">
        <f t="shared" si="4"/>
        <v>1068.6017777449931</v>
      </c>
      <c r="F36" s="153">
        <f t="shared" si="5"/>
        <v>1.3892287141556922E-2</v>
      </c>
      <c r="G36" s="236">
        <v>44</v>
      </c>
      <c r="H36" s="236">
        <v>106</v>
      </c>
      <c r="I36" s="236">
        <v>6</v>
      </c>
      <c r="J36" s="236">
        <f t="shared" ref="J35:J56" si="8">SUM(G36:I36)</f>
        <v>156</v>
      </c>
      <c r="K36" s="414">
        <f t="shared" si="6"/>
        <v>5.3843233355192765E-4</v>
      </c>
      <c r="L36" s="157">
        <f t="shared" si="7"/>
        <v>0.7388210312382596</v>
      </c>
      <c r="M36" s="2"/>
      <c r="O36"/>
      <c r="P36"/>
      <c r="Q36"/>
      <c r="R36"/>
      <c r="S36"/>
      <c r="T36"/>
      <c r="U36"/>
      <c r="V36"/>
      <c r="W36"/>
    </row>
    <row r="37" spans="1:23" s="3" customFormat="1">
      <c r="A37" s="16">
        <v>33</v>
      </c>
      <c r="B37" s="17" t="s">
        <v>15</v>
      </c>
      <c r="C37" s="14">
        <f t="shared" si="3"/>
        <v>502067</v>
      </c>
      <c r="D37" s="173">
        <v>7857.52</v>
      </c>
      <c r="E37" s="152">
        <f t="shared" si="4"/>
        <v>63.896369337908141</v>
      </c>
      <c r="F37" s="153">
        <f t="shared" si="5"/>
        <v>0.23233437032867954</v>
      </c>
      <c r="G37" s="236">
        <v>57</v>
      </c>
      <c r="H37" s="236">
        <v>213</v>
      </c>
      <c r="I37" s="236">
        <v>26</v>
      </c>
      <c r="J37" s="236">
        <f t="shared" si="8"/>
        <v>296</v>
      </c>
      <c r="K37" s="414">
        <f t="shared" si="6"/>
        <v>5.8956274760141574E-4</v>
      </c>
      <c r="L37" s="157">
        <f t="shared" si="7"/>
        <v>0.80898068340193996</v>
      </c>
      <c r="M37" s="2"/>
      <c r="O37"/>
      <c r="P37"/>
      <c r="Q37"/>
      <c r="R37"/>
      <c r="S37"/>
      <c r="T37"/>
      <c r="U37"/>
      <c r="V37"/>
      <c r="W37"/>
    </row>
    <row r="38" spans="1:23" s="3" customFormat="1">
      <c r="A38" s="16">
        <v>34</v>
      </c>
      <c r="B38" s="17" t="s">
        <v>16</v>
      </c>
      <c r="C38" s="14">
        <f t="shared" si="3"/>
        <v>99415</v>
      </c>
      <c r="D38" s="173">
        <v>5499.58</v>
      </c>
      <c r="E38" s="152">
        <f t="shared" si="4"/>
        <v>18.076834958305906</v>
      </c>
      <c r="F38" s="153">
        <f t="shared" si="5"/>
        <v>0.8212346226898829</v>
      </c>
      <c r="G38" s="236">
        <v>5</v>
      </c>
      <c r="H38" s="236">
        <v>55</v>
      </c>
      <c r="I38" s="236">
        <v>24</v>
      </c>
      <c r="J38" s="236">
        <f t="shared" si="8"/>
        <v>84</v>
      </c>
      <c r="K38" s="414">
        <f t="shared" si="6"/>
        <v>8.4494291605894485E-4</v>
      </c>
      <c r="L38" s="157">
        <f t="shared" si="7"/>
        <v>1.1594058485715486</v>
      </c>
      <c r="M38" s="2"/>
      <c r="O38"/>
      <c r="P38"/>
      <c r="Q38"/>
      <c r="R38"/>
      <c r="S38"/>
      <c r="T38"/>
      <c r="U38"/>
      <c r="V38"/>
      <c r="W38"/>
    </row>
    <row r="39" spans="1:23" s="3" customFormat="1">
      <c r="A39" s="16">
        <v>35</v>
      </c>
      <c r="B39" s="17" t="s">
        <v>17</v>
      </c>
      <c r="C39" s="14">
        <f t="shared" si="3"/>
        <v>207070</v>
      </c>
      <c r="D39" s="173">
        <v>1715.62</v>
      </c>
      <c r="E39" s="152">
        <f t="shared" si="4"/>
        <v>120.69689091990068</v>
      </c>
      <c r="F39" s="153">
        <f t="shared" si="5"/>
        <v>0.12299672860888844</v>
      </c>
      <c r="G39" s="236">
        <v>18</v>
      </c>
      <c r="H39" s="236">
        <v>127</v>
      </c>
      <c r="I39" s="236">
        <v>4</v>
      </c>
      <c r="J39" s="236">
        <f t="shared" si="8"/>
        <v>149</v>
      </c>
      <c r="K39" s="414">
        <f t="shared" si="6"/>
        <v>7.1956343265562367E-4</v>
      </c>
      <c r="L39" s="157">
        <f t="shared" si="7"/>
        <v>0.98736380456375084</v>
      </c>
      <c r="M39" s="2"/>
      <c r="O39"/>
      <c r="P39"/>
      <c r="Q39"/>
      <c r="R39"/>
      <c r="S39"/>
      <c r="T39"/>
      <c r="U39"/>
      <c r="V39"/>
      <c r="W39"/>
    </row>
    <row r="40" spans="1:23" s="3" customFormat="1">
      <c r="A40" s="17">
        <v>2</v>
      </c>
      <c r="B40" s="17" t="s">
        <v>18</v>
      </c>
      <c r="C40" s="14">
        <f t="shared" si="3"/>
        <v>494819</v>
      </c>
      <c r="D40" s="173">
        <v>20537.689999999995</v>
      </c>
      <c r="E40" s="152">
        <f t="shared" si="4"/>
        <v>24.093215936164199</v>
      </c>
      <c r="F40" s="153">
        <f t="shared" si="5"/>
        <v>0.61616194267070146</v>
      </c>
      <c r="G40" s="236">
        <v>46</v>
      </c>
      <c r="H40" s="236">
        <v>275</v>
      </c>
      <c r="I40" s="236">
        <v>58</v>
      </c>
      <c r="J40" s="236">
        <f t="shared" si="8"/>
        <v>379</v>
      </c>
      <c r="K40" s="414">
        <f t="shared" si="6"/>
        <v>7.659366354161825E-4</v>
      </c>
      <c r="L40" s="157">
        <f t="shared" si="7"/>
        <v>1.0509957511434833</v>
      </c>
      <c r="M40" s="2"/>
      <c r="O40"/>
      <c r="P40"/>
      <c r="Q40"/>
      <c r="R40"/>
      <c r="S40"/>
      <c r="T40"/>
      <c r="U40"/>
      <c r="V40"/>
      <c r="W40"/>
    </row>
    <row r="41" spans="1:23" s="3" customFormat="1">
      <c r="A41" s="17">
        <v>4</v>
      </c>
      <c r="B41" s="17" t="s">
        <v>19</v>
      </c>
      <c r="C41" s="14">
        <f t="shared" si="3"/>
        <v>211261</v>
      </c>
      <c r="D41" s="173">
        <v>11493.019999999999</v>
      </c>
      <c r="E41" s="152">
        <f t="shared" si="4"/>
        <v>18.38167861884866</v>
      </c>
      <c r="F41" s="153">
        <f t="shared" si="5"/>
        <v>0.80761518271727217</v>
      </c>
      <c r="G41" s="236">
        <v>16</v>
      </c>
      <c r="H41" s="236">
        <v>179</v>
      </c>
      <c r="I41" s="236">
        <v>35</v>
      </c>
      <c r="J41" s="236">
        <f t="shared" si="8"/>
        <v>230</v>
      </c>
      <c r="K41" s="414">
        <f t="shared" si="6"/>
        <v>1.0887007067087631E-3</v>
      </c>
      <c r="L41" s="157">
        <f t="shared" si="7"/>
        <v>1.4938831283296556</v>
      </c>
      <c r="M41" s="2"/>
      <c r="O41"/>
      <c r="P41"/>
      <c r="Q41"/>
      <c r="R41"/>
      <c r="S41"/>
      <c r="T41"/>
      <c r="U41"/>
      <c r="V41"/>
      <c r="W41"/>
    </row>
    <row r="42" spans="1:23" s="3" customFormat="1">
      <c r="A42" s="17">
        <v>5</v>
      </c>
      <c r="B42" s="17" t="s">
        <v>20</v>
      </c>
      <c r="C42" s="14">
        <f t="shared" si="3"/>
        <v>169455</v>
      </c>
      <c r="D42" s="173">
        <v>5707.65</v>
      </c>
      <c r="E42" s="152">
        <f t="shared" si="4"/>
        <v>29.68910146908097</v>
      </c>
      <c r="F42" s="153">
        <f t="shared" si="5"/>
        <v>0.50002600287084986</v>
      </c>
      <c r="G42" s="236">
        <v>12</v>
      </c>
      <c r="H42" s="236">
        <v>115</v>
      </c>
      <c r="I42" s="236">
        <v>6</v>
      </c>
      <c r="J42" s="236">
        <f t="shared" si="8"/>
        <v>133</v>
      </c>
      <c r="K42" s="414">
        <f t="shared" si="6"/>
        <v>7.8486913929951907E-4</v>
      </c>
      <c r="L42" s="157">
        <f t="shared" si="7"/>
        <v>1.076974376815413</v>
      </c>
      <c r="M42" s="2"/>
      <c r="O42"/>
      <c r="P42"/>
      <c r="Q42"/>
      <c r="R42"/>
      <c r="S42"/>
      <c r="T42"/>
      <c r="U42"/>
      <c r="V42"/>
      <c r="W42"/>
    </row>
    <row r="43" spans="1:23" s="3" customFormat="1">
      <c r="A43" s="17">
        <v>6</v>
      </c>
      <c r="B43" s="17" t="s">
        <v>21</v>
      </c>
      <c r="C43" s="14">
        <f t="shared" si="3"/>
        <v>545406</v>
      </c>
      <c r="D43" s="173">
        <v>15549.550000000003</v>
      </c>
      <c r="E43" s="152">
        <f t="shared" si="4"/>
        <v>35.075355878465928</v>
      </c>
      <c r="F43" s="153">
        <f t="shared" si="5"/>
        <v>0.42324083005315233</v>
      </c>
      <c r="G43" s="236">
        <v>47</v>
      </c>
      <c r="H43" s="236">
        <v>281</v>
      </c>
      <c r="I43" s="236">
        <v>14</v>
      </c>
      <c r="J43" s="236">
        <f t="shared" si="8"/>
        <v>342</v>
      </c>
      <c r="K43" s="414">
        <f t="shared" si="6"/>
        <v>6.2705580796690904E-4</v>
      </c>
      <c r="L43" s="157">
        <f t="shared" si="7"/>
        <v>0.86042755944813964</v>
      </c>
      <c r="M43" s="2"/>
      <c r="O43"/>
      <c r="P43"/>
      <c r="Q43"/>
      <c r="R43"/>
      <c r="S43"/>
      <c r="T43"/>
      <c r="U43"/>
      <c r="V43"/>
      <c r="W43"/>
    </row>
    <row r="44" spans="1:23" s="3" customFormat="1">
      <c r="A44" s="17">
        <v>7</v>
      </c>
      <c r="B44" s="17" t="s">
        <v>22</v>
      </c>
      <c r="C44" s="14">
        <f t="shared" si="3"/>
        <v>204635</v>
      </c>
      <c r="D44" s="173">
        <v>6941.6900000000005</v>
      </c>
      <c r="E44" s="152">
        <f t="shared" si="4"/>
        <v>29.479132603155712</v>
      </c>
      <c r="F44" s="153">
        <f t="shared" si="5"/>
        <v>0.50358750158145626</v>
      </c>
      <c r="G44" s="236">
        <v>16</v>
      </c>
      <c r="H44" s="236">
        <v>142</v>
      </c>
      <c r="I44" s="236">
        <v>4</v>
      </c>
      <c r="J44" s="236">
        <f t="shared" si="8"/>
        <v>162</v>
      </c>
      <c r="K44" s="414">
        <f t="shared" si="6"/>
        <v>7.9165343171989152E-4</v>
      </c>
      <c r="L44" s="157">
        <f t="shared" si="7"/>
        <v>1.0862835835808682</v>
      </c>
      <c r="M44" s="2"/>
      <c r="O44"/>
      <c r="P44"/>
      <c r="Q44"/>
      <c r="R44"/>
      <c r="S44"/>
      <c r="T44"/>
      <c r="U44"/>
      <c r="V44"/>
      <c r="W44"/>
    </row>
    <row r="45" spans="1:23" s="3" customFormat="1">
      <c r="A45" s="17">
        <v>8</v>
      </c>
      <c r="B45" s="17" t="s">
        <v>23</v>
      </c>
      <c r="C45" s="14">
        <f t="shared" si="3"/>
        <v>157442</v>
      </c>
      <c r="D45" s="173">
        <v>6768.5099999999993</v>
      </c>
      <c r="E45" s="152">
        <f t="shared" si="4"/>
        <v>23.260954035674029</v>
      </c>
      <c r="F45" s="153">
        <f t="shared" si="5"/>
        <v>0.63820781871819143</v>
      </c>
      <c r="G45" s="236">
        <v>12</v>
      </c>
      <c r="H45" s="236">
        <v>132</v>
      </c>
      <c r="I45" s="236">
        <v>34</v>
      </c>
      <c r="J45" s="236">
        <f t="shared" si="8"/>
        <v>178</v>
      </c>
      <c r="K45" s="414">
        <f t="shared" si="6"/>
        <v>1.1305750689142669E-3</v>
      </c>
      <c r="L45" s="157">
        <f t="shared" si="7"/>
        <v>1.5513418980566245</v>
      </c>
      <c r="M45" s="2"/>
      <c r="O45"/>
      <c r="P45"/>
      <c r="Q45"/>
      <c r="R45"/>
      <c r="S45"/>
      <c r="T45"/>
      <c r="U45"/>
      <c r="V45"/>
      <c r="W45"/>
    </row>
    <row r="46" spans="1:23" s="3" customFormat="1">
      <c r="A46" s="17">
        <v>9</v>
      </c>
      <c r="B46" s="17" t="s">
        <v>24</v>
      </c>
      <c r="C46" s="14">
        <f t="shared" si="3"/>
        <v>125083</v>
      </c>
      <c r="D46" s="173">
        <v>6872.119999999999</v>
      </c>
      <c r="E46" s="152">
        <f t="shared" si="4"/>
        <v>18.20151568948156</v>
      </c>
      <c r="F46" s="153">
        <f t="shared" si="5"/>
        <v>0.81560914979133148</v>
      </c>
      <c r="G46" s="236">
        <v>5</v>
      </c>
      <c r="H46" s="236">
        <v>96</v>
      </c>
      <c r="I46" s="236">
        <v>26</v>
      </c>
      <c r="J46" s="236">
        <f t="shared" si="8"/>
        <v>127</v>
      </c>
      <c r="K46" s="414">
        <f t="shared" si="6"/>
        <v>1.0153258236530944E-3</v>
      </c>
      <c r="L46" s="157">
        <f t="shared" si="7"/>
        <v>1.3932002692439882</v>
      </c>
      <c r="M46" s="2"/>
      <c r="O46"/>
      <c r="P46"/>
      <c r="Q46"/>
      <c r="R46"/>
      <c r="S46"/>
      <c r="T46"/>
      <c r="U46"/>
      <c r="V46"/>
      <c r="W46"/>
    </row>
    <row r="47" spans="1:23" s="3" customFormat="1">
      <c r="A47" s="17">
        <v>10</v>
      </c>
      <c r="B47" s="17" t="s">
        <v>25</v>
      </c>
      <c r="C47" s="14">
        <f t="shared" si="3"/>
        <v>129376</v>
      </c>
      <c r="D47" s="173">
        <v>17099.02</v>
      </c>
      <c r="E47" s="152">
        <f t="shared" si="4"/>
        <v>7.5662815763710434</v>
      </c>
      <c r="F47" s="153">
        <f t="shared" si="5"/>
        <v>1.9620367794363505</v>
      </c>
      <c r="G47" s="236">
        <v>9</v>
      </c>
      <c r="H47" s="236">
        <v>98</v>
      </c>
      <c r="I47" s="236">
        <v>28</v>
      </c>
      <c r="J47" s="236">
        <f t="shared" si="8"/>
        <v>135</v>
      </c>
      <c r="K47" s="414">
        <f t="shared" si="6"/>
        <v>1.0434701953994558E-3</v>
      </c>
      <c r="L47" s="157">
        <f t="shared" si="7"/>
        <v>1.431819149391895</v>
      </c>
      <c r="M47" s="2"/>
      <c r="O47"/>
      <c r="P47"/>
      <c r="Q47"/>
      <c r="R47"/>
      <c r="S47"/>
      <c r="T47"/>
      <c r="U47"/>
      <c r="V47"/>
      <c r="W47"/>
    </row>
    <row r="48" spans="1:23" s="3" customFormat="1">
      <c r="A48" s="17">
        <v>11</v>
      </c>
      <c r="B48" s="17" t="s">
        <v>26</v>
      </c>
      <c r="C48" s="14">
        <f t="shared" si="3"/>
        <v>248815</v>
      </c>
      <c r="D48" s="173">
        <v>21077.93</v>
      </c>
      <c r="E48" s="152">
        <f t="shared" si="4"/>
        <v>11.804527294663185</v>
      </c>
      <c r="F48" s="153">
        <f t="shared" si="5"/>
        <v>1.2575956974679698</v>
      </c>
      <c r="G48" s="236">
        <v>20</v>
      </c>
      <c r="H48" s="236">
        <v>135</v>
      </c>
      <c r="I48" s="236">
        <v>30</v>
      </c>
      <c r="J48" s="236">
        <f t="shared" si="8"/>
        <v>185</v>
      </c>
      <c r="K48" s="414">
        <f t="shared" si="6"/>
        <v>7.4352430520667966E-4</v>
      </c>
      <c r="L48" s="157">
        <f t="shared" si="7"/>
        <v>1.0202422100093489</v>
      </c>
      <c r="M48" s="2"/>
      <c r="O48"/>
      <c r="P48"/>
      <c r="Q48"/>
      <c r="R48"/>
      <c r="S48"/>
      <c r="T48"/>
      <c r="U48"/>
      <c r="V48"/>
      <c r="W48"/>
    </row>
    <row r="49" spans="1:25" s="3" customFormat="1">
      <c r="A49" s="17">
        <v>12</v>
      </c>
      <c r="B49" s="17" t="s">
        <v>27</v>
      </c>
      <c r="C49" s="14">
        <f t="shared" si="3"/>
        <v>162091</v>
      </c>
      <c r="D49" s="173">
        <v>22903.200000000001</v>
      </c>
      <c r="E49" s="152">
        <f t="shared" si="4"/>
        <v>7.0772206503894646</v>
      </c>
      <c r="F49" s="153">
        <f t="shared" si="5"/>
        <v>2.0976204459012715</v>
      </c>
      <c r="G49" s="236">
        <v>7</v>
      </c>
      <c r="H49" s="236">
        <v>113</v>
      </c>
      <c r="I49" s="236">
        <v>29</v>
      </c>
      <c r="J49" s="236">
        <f t="shared" si="8"/>
        <v>149</v>
      </c>
      <c r="K49" s="414">
        <f t="shared" si="6"/>
        <v>9.1923672504950918E-4</v>
      </c>
      <c r="L49" s="157">
        <f t="shared" si="7"/>
        <v>1.2613496308309275</v>
      </c>
      <c r="M49" s="2"/>
      <c r="O49"/>
      <c r="P49"/>
      <c r="Q49"/>
      <c r="R49"/>
      <c r="S49"/>
      <c r="T49"/>
      <c r="U49"/>
      <c r="V49"/>
      <c r="W49"/>
    </row>
    <row r="50" spans="1:25" s="3" customFormat="1">
      <c r="A50" s="17">
        <v>13</v>
      </c>
      <c r="B50" s="17" t="s">
        <v>28</v>
      </c>
      <c r="C50" s="14">
        <f t="shared" si="3"/>
        <v>274112</v>
      </c>
      <c r="D50" s="173">
        <v>19012.050000000003</v>
      </c>
      <c r="E50" s="152">
        <f t="shared" si="4"/>
        <v>14.41780344570943</v>
      </c>
      <c r="F50" s="153">
        <f t="shared" si="5"/>
        <v>1.0296521791486504</v>
      </c>
      <c r="G50" s="236">
        <v>19</v>
      </c>
      <c r="H50" s="236">
        <v>163</v>
      </c>
      <c r="I50" s="236">
        <v>23</v>
      </c>
      <c r="J50" s="236">
        <f t="shared" si="8"/>
        <v>205</v>
      </c>
      <c r="K50" s="414">
        <f t="shared" si="6"/>
        <v>7.478694840065375E-4</v>
      </c>
      <c r="L50" s="157">
        <f t="shared" si="7"/>
        <v>1.0262045367155626</v>
      </c>
      <c r="M50" s="2"/>
      <c r="O50"/>
      <c r="P50"/>
      <c r="Q50"/>
      <c r="R50"/>
      <c r="S50"/>
      <c r="T50"/>
      <c r="U50"/>
      <c r="V50"/>
      <c r="W50"/>
    </row>
    <row r="51" spans="1:25" s="3" customFormat="1">
      <c r="A51" s="17">
        <v>14</v>
      </c>
      <c r="B51" s="17" t="s">
        <v>29</v>
      </c>
      <c r="C51" s="14">
        <f t="shared" si="3"/>
        <v>189929</v>
      </c>
      <c r="D51" s="173">
        <v>14355.660000000002</v>
      </c>
      <c r="E51" s="152">
        <f t="shared" si="4"/>
        <v>13.230252039961936</v>
      </c>
      <c r="F51" s="153">
        <f t="shared" si="5"/>
        <v>1.1220740687003832</v>
      </c>
      <c r="G51" s="236">
        <v>6</v>
      </c>
      <c r="H51" s="236">
        <v>167</v>
      </c>
      <c r="I51" s="236">
        <v>14</v>
      </c>
      <c r="J51" s="236">
        <f t="shared" si="8"/>
        <v>187</v>
      </c>
      <c r="K51" s="414">
        <f t="shared" si="6"/>
        <v>9.8457844773573288E-4</v>
      </c>
      <c r="L51" s="157">
        <f t="shared" si="7"/>
        <v>1.3510096232378739</v>
      </c>
      <c r="M51" s="2"/>
      <c r="O51"/>
      <c r="P51"/>
      <c r="Q51"/>
      <c r="R51"/>
      <c r="S51"/>
      <c r="T51"/>
      <c r="U51"/>
      <c r="V51"/>
      <c r="W51"/>
    </row>
    <row r="52" spans="1:25" s="3" customFormat="1">
      <c r="A52" s="17">
        <v>15</v>
      </c>
      <c r="B52" s="17" t="s">
        <v>30</v>
      </c>
      <c r="C52" s="14">
        <f t="shared" si="3"/>
        <v>178749</v>
      </c>
      <c r="D52" s="173">
        <v>17834.04</v>
      </c>
      <c r="E52" s="152">
        <f t="shared" si="4"/>
        <v>10.022911241647995</v>
      </c>
      <c r="F52" s="153">
        <f t="shared" si="5"/>
        <v>1.4811388007433584</v>
      </c>
      <c r="G52" s="236">
        <v>13</v>
      </c>
      <c r="H52" s="236">
        <v>118</v>
      </c>
      <c r="I52" s="236">
        <v>28</v>
      </c>
      <c r="J52" s="236">
        <f t="shared" si="8"/>
        <v>159</v>
      </c>
      <c r="K52" s="414">
        <f t="shared" si="6"/>
        <v>8.8951546582078777E-4</v>
      </c>
      <c r="L52" s="157">
        <f t="shared" si="7"/>
        <v>1.2205669920020026</v>
      </c>
      <c r="M52" s="2"/>
      <c r="O52"/>
      <c r="P52"/>
      <c r="Q52"/>
      <c r="R52"/>
      <c r="S52"/>
      <c r="T52"/>
      <c r="U52"/>
      <c r="V52"/>
      <c r="W52"/>
    </row>
    <row r="53" spans="1:25" s="3" customFormat="1">
      <c r="A53" s="17">
        <v>16</v>
      </c>
      <c r="B53" s="17" t="s">
        <v>31</v>
      </c>
      <c r="C53" s="14">
        <f t="shared" si="3"/>
        <v>67723</v>
      </c>
      <c r="D53" s="173">
        <v>6463.12</v>
      </c>
      <c r="E53" s="152">
        <f t="shared" si="4"/>
        <v>10.47837576897845</v>
      </c>
      <c r="F53" s="153">
        <f t="shared" si="5"/>
        <v>1.4167580036938228</v>
      </c>
      <c r="G53" s="236">
        <v>4</v>
      </c>
      <c r="H53" s="236">
        <v>48</v>
      </c>
      <c r="I53" s="236">
        <v>8</v>
      </c>
      <c r="J53" s="236">
        <f t="shared" si="8"/>
        <v>60</v>
      </c>
      <c r="K53" s="414">
        <f t="shared" si="6"/>
        <v>8.8596193316893817E-4</v>
      </c>
      <c r="L53" s="157">
        <f t="shared" si="7"/>
        <v>1.2156909388848747</v>
      </c>
      <c r="M53" s="2"/>
      <c r="O53"/>
      <c r="P53"/>
      <c r="Q53"/>
      <c r="R53"/>
      <c r="S53"/>
      <c r="T53"/>
      <c r="U53"/>
      <c r="V53"/>
      <c r="W53"/>
    </row>
    <row r="54" spans="1:25" s="3" customFormat="1">
      <c r="A54" s="17">
        <v>17</v>
      </c>
      <c r="B54" s="17" t="s">
        <v>32</v>
      </c>
      <c r="C54" s="14">
        <f t="shared" si="3"/>
        <v>418331</v>
      </c>
      <c r="D54" s="173">
        <v>45852.01</v>
      </c>
      <c r="E54" s="152">
        <f t="shared" si="4"/>
        <v>9.1235040732129296</v>
      </c>
      <c r="F54" s="153">
        <f t="shared" si="5"/>
        <v>1.6271514340633941</v>
      </c>
      <c r="G54" s="236">
        <v>21</v>
      </c>
      <c r="H54" s="236">
        <v>251</v>
      </c>
      <c r="I54" s="236">
        <v>52</v>
      </c>
      <c r="J54" s="236">
        <f t="shared" si="8"/>
        <v>324</v>
      </c>
      <c r="K54" s="414">
        <f t="shared" si="6"/>
        <v>7.7450631198739751E-4</v>
      </c>
      <c r="L54" s="157">
        <f t="shared" si="7"/>
        <v>1.0627548095936996</v>
      </c>
      <c r="M54" s="2"/>
      <c r="O54"/>
      <c r="P54"/>
      <c r="Q54"/>
      <c r="R54"/>
      <c r="S54"/>
      <c r="T54"/>
      <c r="U54"/>
      <c r="V54"/>
      <c r="W54"/>
      <c r="X54"/>
      <c r="Y54"/>
    </row>
    <row r="55" spans="1:25" s="3" customFormat="1">
      <c r="A55" s="17">
        <v>18</v>
      </c>
      <c r="B55" s="17" t="s">
        <v>33</v>
      </c>
      <c r="C55" s="14">
        <f t="shared" si="3"/>
        <v>69639</v>
      </c>
      <c r="D55" s="173">
        <v>22687.890000000003</v>
      </c>
      <c r="E55" s="152">
        <f t="shared" si="4"/>
        <v>3.0694348394672222</v>
      </c>
      <c r="F55" s="153">
        <f t="shared" si="5"/>
        <v>4.8365003698819082</v>
      </c>
      <c r="G55" s="236">
        <v>2</v>
      </c>
      <c r="H55" s="236">
        <v>56</v>
      </c>
      <c r="I55" s="236">
        <v>14</v>
      </c>
      <c r="J55" s="236">
        <f t="shared" si="8"/>
        <v>72</v>
      </c>
      <c r="K55" s="414">
        <f t="shared" si="6"/>
        <v>1.0339034161892043E-3</v>
      </c>
      <c r="L55" s="157">
        <f t="shared" si="7"/>
        <v>1.4186918959910457</v>
      </c>
      <c r="M55" s="2"/>
      <c r="O55"/>
      <c r="P55"/>
      <c r="Q55"/>
      <c r="R55"/>
      <c r="S55"/>
      <c r="T55"/>
      <c r="U55"/>
      <c r="V55"/>
      <c r="W55"/>
      <c r="X55"/>
      <c r="Y55"/>
    </row>
    <row r="56" spans="1:25" s="3" customFormat="1">
      <c r="A56" s="17">
        <v>19</v>
      </c>
      <c r="B56" s="17" t="s">
        <v>34</v>
      </c>
      <c r="C56" s="14">
        <f t="shared" si="3"/>
        <v>176151</v>
      </c>
      <c r="D56" s="173">
        <v>100366.88</v>
      </c>
      <c r="E56" s="152">
        <f t="shared" si="4"/>
        <v>1.7550709955315935</v>
      </c>
      <c r="F56" s="153">
        <f t="shared" si="5"/>
        <v>8.4585311786291211</v>
      </c>
      <c r="G56" s="236">
        <v>6</v>
      </c>
      <c r="H56" s="236">
        <v>114</v>
      </c>
      <c r="I56" s="236">
        <v>53</v>
      </c>
      <c r="J56" s="236">
        <f t="shared" si="8"/>
        <v>173</v>
      </c>
      <c r="K56" s="414">
        <f t="shared" si="6"/>
        <v>9.8211193805314767E-4</v>
      </c>
      <c r="L56" s="157">
        <f t="shared" si="7"/>
        <v>1.3476251511070392</v>
      </c>
      <c r="M56" s="2"/>
      <c r="O56"/>
      <c r="P56"/>
      <c r="Q56"/>
      <c r="R56"/>
      <c r="S56"/>
      <c r="T56"/>
      <c r="U56"/>
      <c r="V56"/>
      <c r="W56"/>
      <c r="X56"/>
      <c r="Y56"/>
    </row>
    <row r="57" spans="1:25" s="3" customFormat="1">
      <c r="A57" s="236"/>
      <c r="B57" s="19" t="s">
        <v>35</v>
      </c>
      <c r="C57" s="20">
        <f t="shared" si="3"/>
        <v>5605317</v>
      </c>
      <c r="D57" s="174">
        <v>377581.35000000003</v>
      </c>
      <c r="E57" s="154">
        <f t="shared" si="4"/>
        <v>14.845322736411635</v>
      </c>
      <c r="F57" s="155">
        <f t="shared" si="5"/>
        <v>1</v>
      </c>
      <c r="G57" s="252">
        <v>505</v>
      </c>
      <c r="H57" s="252">
        <v>3043</v>
      </c>
      <c r="I57" s="252">
        <v>537</v>
      </c>
      <c r="J57" s="252">
        <f t="shared" ref="J57" si="9">SUM(J35:J56)</f>
        <v>4085</v>
      </c>
      <c r="K57" s="415">
        <f t="shared" si="6"/>
        <v>7.2877234240275798E-4</v>
      </c>
      <c r="L57" s="419">
        <f t="shared" si="7"/>
        <v>1</v>
      </c>
      <c r="M57" s="2"/>
      <c r="O57"/>
      <c r="P57"/>
      <c r="Q57"/>
      <c r="R57"/>
      <c r="S57"/>
      <c r="T57"/>
      <c r="U57"/>
      <c r="V57"/>
      <c r="W57"/>
      <c r="X57"/>
      <c r="Y57"/>
    </row>
    <row r="58" spans="1:25">
      <c r="C58" s="140"/>
      <c r="D58" s="140"/>
      <c r="G58" s="140"/>
    </row>
  </sheetData>
  <phoneticPr fontId="55" type="noConversion"/>
  <pageMargins left="0.7" right="0.7" top="0.75" bottom="0.75" header="0.3" footer="0.3"/>
  <pageSetup paperSize="9"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1CA534937769478A50E85D0254A4A7" ma:contentTypeVersion="13" ma:contentTypeDescription="Create a new document." ma:contentTypeScope="" ma:versionID="67faaef28b2ef0a97941e9c3bdb91e9c">
  <xsd:schema xmlns:xsd="http://www.w3.org/2001/XMLSchema" xmlns:xs="http://www.w3.org/2001/XMLSchema" xmlns:p="http://schemas.microsoft.com/office/2006/metadata/properties" xmlns:ns2="1dc3b7a6-a49d-4f6a-a347-ca058eb755c4" xmlns:ns3="74a43502-4d8a-4b63-9ac3-2af187c4ae83" targetNamespace="http://schemas.microsoft.com/office/2006/metadata/properties" ma:root="true" ma:fieldsID="39f46ef714e8d6c4f585da1974c997dd" ns2:_="" ns3:_="">
    <xsd:import namespace="1dc3b7a6-a49d-4f6a-a347-ca058eb755c4"/>
    <xsd:import namespace="74a43502-4d8a-4b63-9ac3-2af187c4ae83"/>
    <xsd:element name="properties">
      <xsd:complexType>
        <xsd:sequence>
          <xsd:element name="documentManagement">
            <xsd:complexType>
              <xsd:all>
                <xsd:element ref="ns2:Tila" minOccurs="0"/>
                <xsd:element ref="ns2:ViedaanVahvaan" minOccurs="0"/>
                <xsd:element ref="ns2:LinkkiVahvaan" minOccurs="0"/>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c3b7a6-a49d-4f6a-a347-ca058eb755c4" elementFormDefault="qualified">
    <xsd:import namespace="http://schemas.microsoft.com/office/2006/documentManagement/types"/>
    <xsd:import namespace="http://schemas.microsoft.com/office/infopath/2007/PartnerControls"/>
    <xsd:element name="Tila" ma:index="8" nillable="true" ma:displayName="Tila" ma:format="Dropdown" ma:internalName="Tila">
      <xsd:simpleType>
        <xsd:restriction base="dms:Choice">
          <xsd:enumeration value="Luonnos"/>
          <xsd:enumeration value="Valmis"/>
        </xsd:restriction>
      </xsd:simpleType>
    </xsd:element>
    <xsd:element name="ViedaanVahvaan" ma:index="9" nillable="true" ma:displayName="Viedään Vahvaan" ma:format="Dropdown" ma:internalName="ViedaanVahvaan">
      <xsd:simpleType>
        <xsd:restriction base="dms:Choice">
          <xsd:enumeration value="Ei"/>
          <xsd:enumeration value="Kyllä"/>
          <xsd:enumeration value="EOS"/>
          <xsd:enumeration value="Viety"/>
        </xsd:restriction>
      </xsd:simpleType>
    </xsd:element>
    <xsd:element name="LinkkiVahvaan" ma:index="10" nillable="true" ma:displayName="Linkki Vahvaan" ma:format="Hyperlink" ma:internalName="LinkkiVahvaan">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f74eb33-bc01-4b65-a333-7b16e5d3bc2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a43502-4d8a-4b63-9ac3-2af187c4ae8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e1d9b046-b8dd-43c1-8b30-93aec8f38fb6}" ma:internalName="TaxCatchAll" ma:showField="CatchAllData" ma:web="74a43502-4d8a-4b63-9ac3-2af187c4ae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dc3b7a6-a49d-4f6a-a347-ca058eb755c4">
      <Terms xmlns="http://schemas.microsoft.com/office/infopath/2007/PartnerControls"/>
    </lcf76f155ced4ddcb4097134ff3c332f>
    <ViedaanVahvaan xmlns="1dc3b7a6-a49d-4f6a-a347-ca058eb755c4" xsi:nil="true"/>
    <LinkkiVahvaan xmlns="1dc3b7a6-a49d-4f6a-a347-ca058eb755c4">
      <Url xsi:nil="true"/>
      <Description xsi:nil="true"/>
    </LinkkiVahvaan>
    <Tila xmlns="1dc3b7a6-a49d-4f6a-a347-ca058eb755c4" xsi:nil="true"/>
    <TaxCatchAll xmlns="74a43502-4d8a-4b63-9ac3-2af187c4ae83" xsi:nil="true"/>
  </documentManagement>
</p:properties>
</file>

<file path=customXml/itemProps1.xml><?xml version="1.0" encoding="utf-8"?>
<ds:datastoreItem xmlns:ds="http://schemas.openxmlformats.org/officeDocument/2006/customXml" ds:itemID="{FCE0B620-541F-4578-924D-F2DE477337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c3b7a6-a49d-4f6a-a347-ca058eb755c4"/>
    <ds:schemaRef ds:uri="74a43502-4d8a-4b63-9ac3-2af187c4ae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46DB54-4D28-4264-8533-5819D1EEBEA1}">
  <ds:schemaRefs>
    <ds:schemaRef ds:uri="http://schemas.microsoft.com/sharepoint/v3/contenttype/forms"/>
  </ds:schemaRefs>
</ds:datastoreItem>
</file>

<file path=customXml/itemProps3.xml><?xml version="1.0" encoding="utf-8"?>
<ds:datastoreItem xmlns:ds="http://schemas.openxmlformats.org/officeDocument/2006/customXml" ds:itemID="{D59A30DA-342E-4E69-BE94-5E0DFFB05171}">
  <ds:schemaRefs>
    <ds:schemaRef ds:uri="http://schemas.microsoft.com/office/2006/metadata/properties"/>
    <ds:schemaRef ds:uri="http://schemas.microsoft.com/office/infopath/2007/PartnerControls"/>
    <ds:schemaRef ds:uri="1dc3b7a6-a49d-4f6a-a347-ca058eb755c4"/>
    <ds:schemaRef ds:uri="74a43502-4d8a-4b63-9ac3-2af187c4ae8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10</vt:i4>
      </vt:variant>
    </vt:vector>
  </HeadingPairs>
  <TitlesOfParts>
    <vt:vector size="10" baseType="lpstr">
      <vt:lpstr>INFO</vt:lpstr>
      <vt:lpstr>Yhteenveto</vt:lpstr>
      <vt:lpstr>Rahoituksen taso 2026</vt:lpstr>
      <vt:lpstr>Jälkikäteistarkistus 2026</vt:lpstr>
      <vt:lpstr>SOTE laskennallinen rahoitus</vt:lpstr>
      <vt:lpstr>PELA laskennallinen rahoitus</vt:lpstr>
      <vt:lpstr>Hyte-kerroin</vt:lpstr>
      <vt:lpstr>Tarvekertoimet</vt:lpstr>
      <vt:lpstr>Määräytymistekijät</vt:lpstr>
      <vt:lpstr>Tarvetekijät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Hyvinvointialueiden rahoituslaskelma 2025</dc:title>
  <dc:creator/>
  <cp:lastModifiedBy>Valkama Roosa (VM)</cp:lastModifiedBy>
  <dcterms:created xsi:type="dcterms:W3CDTF">2020-05-15T09:22:39Z</dcterms:created>
  <dcterms:modified xsi:type="dcterms:W3CDTF">2025-09-22T12:14:45Z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0x010100F01CA534937769478A50E85D0254A4A7</vt:lpwstr>
  </property>
  <property fmtid="{D5CDD505-2E9C-101B-9397-08002B2CF9AE}" pid="3" name="MediaServiceImageTags">
    <vt:lpwstr/>
  </property>
</Properties>
</file>