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altion.fi\yhteiset_tiedostot\VM\KAO\Hyvinvointialueiden yleiskatteinen rahoitus\Rahoituslaskelmat\Julkaistut rahoituslaskelmat\2024\JULKAISU 23.9.2024\"/>
    </mc:Choice>
  </mc:AlternateContent>
  <bookViews>
    <workbookView xWindow="0" yWindow="0" windowWidth="15600" windowHeight="7040"/>
  </bookViews>
  <sheets>
    <sheet name="INFO" sheetId="21" r:id="rId1"/>
    <sheet name="Yhteenveto" sheetId="12" r:id="rId2"/>
    <sheet name="Rahoituksen taso 2025" sheetId="10" r:id="rId3"/>
    <sheet name="Jälkikäteistarkistus 2025" sheetId="20" r:id="rId4"/>
    <sheet name="SOTE laskennallinen rahoitus" sheetId="13" r:id="rId5"/>
    <sheet name="PELA laskennallinen rahoitus" sheetId="14" r:id="rId6"/>
    <sheet name="Määräytymistekijät" sheetId="15" r:id="rId7"/>
    <sheet name="Tarvekertoimet" sheetId="16" r:id="rId8"/>
    <sheet name="Tarvetekijät" sheetId="18" r:id="rId9"/>
  </sheets>
  <definedNames>
    <definedName name="_xlnm._FilterDatabase" localSheetId="4" hidden="1">'SOTE laskennallinen rahoitus'!#REF!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10" l="1"/>
  <c r="K36" i="15" l="1"/>
  <c r="K37" i="15"/>
  <c r="K38" i="15"/>
  <c r="K39" i="15"/>
  <c r="K40" i="15"/>
  <c r="K41" i="15"/>
  <c r="K42" i="15"/>
  <c r="K43" i="15"/>
  <c r="K44" i="15"/>
  <c r="K45" i="15"/>
  <c r="K46" i="15"/>
  <c r="K47" i="15"/>
  <c r="K48" i="15"/>
  <c r="K49" i="15"/>
  <c r="K50" i="15"/>
  <c r="K51" i="15"/>
  <c r="K52" i="15"/>
  <c r="K53" i="15"/>
  <c r="K54" i="15"/>
  <c r="K55" i="15"/>
  <c r="K56" i="15"/>
  <c r="K35" i="15"/>
  <c r="H57" i="15"/>
  <c r="I57" i="15"/>
  <c r="J57" i="15"/>
  <c r="G57" i="15"/>
  <c r="K57" i="15" l="1"/>
  <c r="B14" i="10" l="1"/>
  <c r="B11" i="13" l="1"/>
  <c r="B12" i="10" l="1"/>
  <c r="B13" i="10" s="1"/>
  <c r="A2" i="10" l="1"/>
  <c r="A2" i="16" l="1"/>
  <c r="A2" i="15"/>
  <c r="A2" i="14"/>
  <c r="A2" i="13"/>
  <c r="A2" i="20"/>
  <c r="A2" i="12" l="1"/>
  <c r="H9" i="15" l="1"/>
  <c r="H10" i="15"/>
  <c r="H11" i="15"/>
  <c r="H12" i="15"/>
  <c r="H13" i="15"/>
  <c r="H14" i="15"/>
  <c r="H15" i="15"/>
  <c r="H16" i="15"/>
  <c r="H17" i="15"/>
  <c r="H18" i="15"/>
  <c r="H19" i="15"/>
  <c r="H20" i="15"/>
  <c r="H21" i="15"/>
  <c r="H22" i="15"/>
  <c r="H23" i="15"/>
  <c r="H24" i="15"/>
  <c r="H25" i="15"/>
  <c r="H26" i="15"/>
  <c r="H27" i="15"/>
  <c r="H28" i="15"/>
  <c r="H29" i="15"/>
  <c r="G30" i="15"/>
  <c r="F30" i="15" l="1"/>
  <c r="E30" i="15"/>
  <c r="D30" i="15"/>
  <c r="J30" i="15"/>
  <c r="E16" i="20" l="1"/>
  <c r="E14" i="20"/>
  <c r="I25" i="20" l="1"/>
  <c r="J25" i="20"/>
  <c r="I26" i="20"/>
  <c r="J26" i="20"/>
  <c r="I27" i="20"/>
  <c r="J27" i="20"/>
  <c r="I28" i="20"/>
  <c r="J28" i="20"/>
  <c r="I29" i="20"/>
  <c r="J29" i="20"/>
  <c r="I30" i="20"/>
  <c r="J30" i="20"/>
  <c r="I31" i="20"/>
  <c r="J31" i="20"/>
  <c r="I32" i="20"/>
  <c r="J32" i="20"/>
  <c r="I33" i="20"/>
  <c r="J33" i="20"/>
  <c r="I34" i="20"/>
  <c r="J34" i="20"/>
  <c r="I35" i="20"/>
  <c r="J35" i="20"/>
  <c r="I36" i="20"/>
  <c r="J36" i="20"/>
  <c r="I37" i="20"/>
  <c r="J37" i="20"/>
  <c r="I38" i="20"/>
  <c r="J38" i="20"/>
  <c r="I39" i="20"/>
  <c r="J39" i="20"/>
  <c r="I40" i="20"/>
  <c r="J40" i="20"/>
  <c r="I41" i="20"/>
  <c r="J41" i="20"/>
  <c r="I42" i="20"/>
  <c r="J42" i="20"/>
  <c r="I43" i="20"/>
  <c r="J43" i="20"/>
  <c r="I44" i="20"/>
  <c r="J44" i="20"/>
  <c r="I45" i="20"/>
  <c r="J45" i="20"/>
  <c r="I46" i="20"/>
  <c r="E9" i="20" s="1"/>
  <c r="E18" i="20" s="1"/>
  <c r="B19" i="10" s="1"/>
  <c r="J46" i="20"/>
  <c r="E10" i="20" s="1"/>
  <c r="J24" i="20"/>
  <c r="I24" i="20"/>
  <c r="B9" i="13" l="1"/>
  <c r="E19" i="20"/>
  <c r="B20" i="10" l="1"/>
  <c r="B24" i="10" s="1"/>
  <c r="E20" i="20"/>
  <c r="B21" i="10" s="1"/>
  <c r="E11" i="20"/>
  <c r="B43" i="10" l="1"/>
  <c r="A23" i="13" l="1"/>
  <c r="B23" i="13"/>
  <c r="A21" i="13"/>
  <c r="B21" i="13"/>
  <c r="A22" i="13"/>
  <c r="B22" i="13"/>
  <c r="N28" i="13" l="1"/>
  <c r="C30" i="15" l="1"/>
  <c r="H30" i="15" s="1"/>
  <c r="I30" i="15" s="1"/>
  <c r="B12" i="13" l="1"/>
  <c r="B13" i="13"/>
  <c r="B14" i="13"/>
  <c r="B15" i="13"/>
  <c r="B16" i="13"/>
  <c r="B17" i="13"/>
  <c r="B18" i="13"/>
  <c r="B19" i="13"/>
  <c r="B20" i="13"/>
  <c r="A12" i="13"/>
  <c r="A13" i="13"/>
  <c r="A14" i="13"/>
  <c r="A15" i="13"/>
  <c r="A16" i="13"/>
  <c r="A17" i="13"/>
  <c r="A18" i="13"/>
  <c r="A19" i="13"/>
  <c r="A20" i="13"/>
  <c r="A11" i="13"/>
  <c r="B16" i="10"/>
  <c r="B23" i="10" s="1"/>
  <c r="F29" i="13" l="1"/>
  <c r="D29" i="13"/>
  <c r="M29" i="13"/>
  <c r="B29" i="13"/>
  <c r="J29" i="13"/>
  <c r="G29" i="13"/>
  <c r="H29" i="13"/>
  <c r="I29" i="13"/>
  <c r="K29" i="13"/>
  <c r="E29" i="13"/>
  <c r="L29" i="13"/>
  <c r="B10" i="10"/>
  <c r="B10" i="13" l="1"/>
  <c r="B24" i="13" l="1"/>
  <c r="C8" i="12" l="1"/>
  <c r="C9" i="12"/>
  <c r="C10" i="12"/>
  <c r="C11" i="12"/>
  <c r="C12" i="12"/>
  <c r="C13" i="12"/>
  <c r="C14" i="12"/>
  <c r="C15" i="12"/>
  <c r="C16" i="12"/>
  <c r="C17" i="12"/>
  <c r="C18" i="12"/>
  <c r="C19" i="12"/>
  <c r="C20" i="12"/>
  <c r="C21" i="12"/>
  <c r="C22" i="12"/>
  <c r="C23" i="12"/>
  <c r="C24" i="12"/>
  <c r="C25" i="12"/>
  <c r="C26" i="12"/>
  <c r="C27" i="12"/>
  <c r="C28" i="12"/>
  <c r="C29" i="12"/>
  <c r="C7" i="12"/>
  <c r="B8" i="13" l="1"/>
  <c r="C8" i="16" l="1"/>
  <c r="C9" i="16"/>
  <c r="C10" i="16"/>
  <c r="C11" i="16"/>
  <c r="C12" i="16"/>
  <c r="C13" i="16"/>
  <c r="C14" i="16"/>
  <c r="C15" i="16"/>
  <c r="C16" i="16"/>
  <c r="C17" i="16"/>
  <c r="C18" i="16"/>
  <c r="C19" i="16"/>
  <c r="C20" i="16"/>
  <c r="C21" i="16"/>
  <c r="C22" i="16"/>
  <c r="C23" i="16"/>
  <c r="C24" i="16"/>
  <c r="C25" i="16"/>
  <c r="C26" i="16"/>
  <c r="C27" i="16"/>
  <c r="C28" i="16"/>
  <c r="C7" i="16"/>
  <c r="C29" i="16" l="1"/>
  <c r="C36" i="15" l="1"/>
  <c r="C37" i="15"/>
  <c r="C38" i="15"/>
  <c r="C39" i="15"/>
  <c r="C40" i="15"/>
  <c r="C41" i="15"/>
  <c r="C42" i="15"/>
  <c r="C43" i="15"/>
  <c r="C44" i="15"/>
  <c r="C45" i="15"/>
  <c r="C46" i="15"/>
  <c r="C47" i="15"/>
  <c r="C48" i="15"/>
  <c r="C49" i="15"/>
  <c r="C50" i="15"/>
  <c r="C51" i="15"/>
  <c r="C52" i="15"/>
  <c r="C53" i="15"/>
  <c r="C54" i="15"/>
  <c r="C55" i="15"/>
  <c r="C56" i="15"/>
  <c r="C57" i="15"/>
  <c r="C35" i="15"/>
  <c r="G24" i="16" l="1"/>
  <c r="E57" i="15"/>
  <c r="E56" i="15"/>
  <c r="E55" i="15"/>
  <c r="E54" i="15"/>
  <c r="E53" i="15"/>
  <c r="E52" i="15"/>
  <c r="E51" i="15"/>
  <c r="E50" i="15"/>
  <c r="E49" i="15"/>
  <c r="E48" i="15"/>
  <c r="E47" i="15"/>
  <c r="E46" i="15"/>
  <c r="E45" i="15"/>
  <c r="E44" i="15"/>
  <c r="E43" i="15"/>
  <c r="E42" i="15"/>
  <c r="E41" i="15"/>
  <c r="E40" i="15"/>
  <c r="E39" i="15"/>
  <c r="E38" i="15"/>
  <c r="E37" i="15"/>
  <c r="E36" i="15"/>
  <c r="E35" i="15"/>
  <c r="H8" i="15"/>
  <c r="I18" i="15" l="1"/>
  <c r="I26" i="15"/>
  <c r="I10" i="15"/>
  <c r="I14" i="15"/>
  <c r="F38" i="15"/>
  <c r="F42" i="15"/>
  <c r="F46" i="15"/>
  <c r="F50" i="15"/>
  <c r="F54" i="15"/>
  <c r="F35" i="15"/>
  <c r="I29" i="15"/>
  <c r="I22" i="15"/>
  <c r="I11" i="15"/>
  <c r="I15" i="15"/>
  <c r="I19" i="15"/>
  <c r="I23" i="15"/>
  <c r="I27" i="15"/>
  <c r="I8" i="15"/>
  <c r="I12" i="15"/>
  <c r="I16" i="15"/>
  <c r="I20" i="15"/>
  <c r="I24" i="15"/>
  <c r="I28" i="15"/>
  <c r="I9" i="15"/>
  <c r="I13" i="15"/>
  <c r="I17" i="15"/>
  <c r="I21" i="15"/>
  <c r="I25" i="15"/>
  <c r="F39" i="15"/>
  <c r="F57" i="15"/>
  <c r="F53" i="15"/>
  <c r="F49" i="15"/>
  <c r="F45" i="15"/>
  <c r="F41" i="15"/>
  <c r="F37" i="15"/>
  <c r="F56" i="15"/>
  <c r="F52" i="15"/>
  <c r="F48" i="15"/>
  <c r="F44" i="15"/>
  <c r="F40" i="15"/>
  <c r="F36" i="15"/>
  <c r="F55" i="15"/>
  <c r="F51" i="15"/>
  <c r="F47" i="15"/>
  <c r="F43" i="15"/>
  <c r="G7" i="16"/>
  <c r="G8" i="16"/>
  <c r="G9" i="16"/>
  <c r="G10" i="16"/>
  <c r="G12" i="16"/>
  <c r="G13" i="16"/>
  <c r="G15" i="16"/>
  <c r="G16" i="16"/>
  <c r="G18" i="16"/>
  <c r="G19" i="16"/>
  <c r="G20" i="16"/>
  <c r="G21" i="16"/>
  <c r="G23" i="16"/>
  <c r="G26" i="16"/>
  <c r="G27" i="16"/>
  <c r="H7" i="16"/>
  <c r="H8" i="16"/>
  <c r="H9" i="16"/>
  <c r="H10" i="16"/>
  <c r="H11" i="16"/>
  <c r="H12" i="16"/>
  <c r="H13" i="16"/>
  <c r="H14" i="16"/>
  <c r="H15" i="16"/>
  <c r="H16" i="16"/>
  <c r="H17" i="16"/>
  <c r="H18" i="16"/>
  <c r="H19" i="16"/>
  <c r="H20" i="16"/>
  <c r="H21" i="16"/>
  <c r="H22" i="16"/>
  <c r="H23" i="16"/>
  <c r="H24" i="16"/>
  <c r="H25" i="16"/>
  <c r="H26" i="16"/>
  <c r="H27" i="16"/>
  <c r="H28" i="16"/>
  <c r="G11" i="16"/>
  <c r="G14" i="16"/>
  <c r="G17" i="16"/>
  <c r="G22" i="16"/>
  <c r="G25" i="16"/>
  <c r="G28" i="16"/>
  <c r="I7" i="16"/>
  <c r="I8" i="16"/>
  <c r="I9" i="16"/>
  <c r="I10" i="16"/>
  <c r="I11" i="16"/>
  <c r="I12" i="16"/>
  <c r="I13" i="16"/>
  <c r="I14" i="16"/>
  <c r="I15" i="16"/>
  <c r="I16" i="16"/>
  <c r="I17" i="16"/>
  <c r="I18" i="16"/>
  <c r="I19" i="16"/>
  <c r="I20" i="16"/>
  <c r="I21" i="16"/>
  <c r="I22" i="16"/>
  <c r="I23" i="16"/>
  <c r="I24" i="16"/>
  <c r="I25" i="16"/>
  <c r="I26" i="16"/>
  <c r="I27" i="16"/>
  <c r="I28" i="16"/>
  <c r="H29" i="16" l="1"/>
  <c r="I29" i="16"/>
  <c r="G29" i="16"/>
  <c r="J11" i="16" l="1"/>
  <c r="D39" i="13" s="1"/>
  <c r="J20" i="16"/>
  <c r="D48" i="13" s="1"/>
  <c r="J25" i="16"/>
  <c r="D53" i="13" s="1"/>
  <c r="J12" i="16"/>
  <c r="D40" i="13" s="1"/>
  <c r="J23" i="16"/>
  <c r="D51" i="13" s="1"/>
  <c r="J27" i="16"/>
  <c r="D55" i="13" s="1"/>
  <c r="J7" i="16"/>
  <c r="D35" i="13" s="1"/>
  <c r="J15" i="16"/>
  <c r="D43" i="13" s="1"/>
  <c r="J9" i="16"/>
  <c r="D37" i="13" s="1"/>
  <c r="J13" i="16"/>
  <c r="D41" i="13" s="1"/>
  <c r="J18" i="16"/>
  <c r="D46" i="13" s="1"/>
  <c r="J24" i="16"/>
  <c r="D52" i="13" s="1"/>
  <c r="J8" i="16"/>
  <c r="D36" i="13" s="1"/>
  <c r="J19" i="16"/>
  <c r="D47" i="13" s="1"/>
  <c r="J22" i="16"/>
  <c r="D50" i="13" s="1"/>
  <c r="J10" i="16"/>
  <c r="D38" i="13" s="1"/>
  <c r="J21" i="16"/>
  <c r="D49" i="13" s="1"/>
  <c r="J28" i="16"/>
  <c r="D56" i="13" s="1"/>
  <c r="J14" i="16"/>
  <c r="D42" i="13" s="1"/>
  <c r="J17" i="16"/>
  <c r="D45" i="13" s="1"/>
  <c r="J16" i="16"/>
  <c r="D44" i="13" s="1"/>
  <c r="J26" i="16"/>
  <c r="D54" i="13" s="1"/>
  <c r="L7" i="16"/>
  <c r="F35" i="13" s="1"/>
  <c r="L11" i="16"/>
  <c r="F39" i="13" s="1"/>
  <c r="L15" i="16"/>
  <c r="F43" i="13" s="1"/>
  <c r="L19" i="16"/>
  <c r="F47" i="13" s="1"/>
  <c r="L23" i="16"/>
  <c r="F51" i="13" s="1"/>
  <c r="L28" i="16"/>
  <c r="F56" i="13" s="1"/>
  <c r="L10" i="16"/>
  <c r="F38" i="13" s="1"/>
  <c r="L14" i="16"/>
  <c r="F42" i="13" s="1"/>
  <c r="L18" i="16"/>
  <c r="F46" i="13" s="1"/>
  <c r="L22" i="16"/>
  <c r="F50" i="13" s="1"/>
  <c r="L25" i="16"/>
  <c r="F53" i="13" s="1"/>
  <c r="L27" i="16"/>
  <c r="F55" i="13" s="1"/>
  <c r="L9" i="16"/>
  <c r="F37" i="13" s="1"/>
  <c r="L13" i="16"/>
  <c r="F41" i="13" s="1"/>
  <c r="L17" i="16"/>
  <c r="F45" i="13" s="1"/>
  <c r="L21" i="16"/>
  <c r="F49" i="13" s="1"/>
  <c r="L8" i="16"/>
  <c r="F36" i="13" s="1"/>
  <c r="L12" i="16"/>
  <c r="F40" i="13" s="1"/>
  <c r="L20" i="16"/>
  <c r="F48" i="13" s="1"/>
  <c r="L26" i="16"/>
  <c r="F54" i="13" s="1"/>
  <c r="L16" i="16"/>
  <c r="F44" i="13" s="1"/>
  <c r="L24" i="16"/>
  <c r="F52" i="13" s="1"/>
  <c r="K26" i="16"/>
  <c r="E54" i="13" s="1"/>
  <c r="K8" i="16"/>
  <c r="E36" i="13" s="1"/>
  <c r="K12" i="16"/>
  <c r="E40" i="13" s="1"/>
  <c r="K16" i="16"/>
  <c r="E44" i="13" s="1"/>
  <c r="K20" i="16"/>
  <c r="E48" i="13" s="1"/>
  <c r="K24" i="16"/>
  <c r="E52" i="13" s="1"/>
  <c r="K25" i="16"/>
  <c r="E53" i="13" s="1"/>
  <c r="K7" i="16"/>
  <c r="E35" i="13" s="1"/>
  <c r="K11" i="16"/>
  <c r="E39" i="13" s="1"/>
  <c r="K15" i="16"/>
  <c r="E43" i="13" s="1"/>
  <c r="K19" i="16"/>
  <c r="E47" i="13" s="1"/>
  <c r="K23" i="16"/>
  <c r="E51" i="13" s="1"/>
  <c r="K10" i="16"/>
  <c r="E38" i="13" s="1"/>
  <c r="K14" i="16"/>
  <c r="E42" i="13" s="1"/>
  <c r="K18" i="16"/>
  <c r="E46" i="13" s="1"/>
  <c r="K22" i="16"/>
  <c r="E50" i="13" s="1"/>
  <c r="K9" i="16"/>
  <c r="E37" i="13" s="1"/>
  <c r="K13" i="16"/>
  <c r="E41" i="13" s="1"/>
  <c r="K17" i="16"/>
  <c r="E45" i="13" s="1"/>
  <c r="K21" i="16"/>
  <c r="E49" i="13" s="1"/>
  <c r="K28" i="16"/>
  <c r="E56" i="13" s="1"/>
  <c r="K27" i="16"/>
  <c r="E55" i="13" s="1"/>
  <c r="A7" i="14" l="1"/>
  <c r="B12" i="14" s="1"/>
  <c r="B7" i="14"/>
  <c r="D18" i="14"/>
  <c r="D19" i="14"/>
  <c r="D20" i="14"/>
  <c r="D21" i="14"/>
  <c r="D22" i="14"/>
  <c r="D23" i="14"/>
  <c r="D24" i="14"/>
  <c r="D25" i="14"/>
  <c r="D26" i="14"/>
  <c r="D27" i="14"/>
  <c r="D28" i="14"/>
  <c r="D29" i="14"/>
  <c r="D30" i="14"/>
  <c r="D31" i="14"/>
  <c r="D32" i="14"/>
  <c r="D33" i="14"/>
  <c r="D34" i="14"/>
  <c r="D35" i="14"/>
  <c r="D36" i="14"/>
  <c r="D37" i="14"/>
  <c r="D38" i="14"/>
  <c r="D39" i="14"/>
  <c r="D17" i="14"/>
  <c r="C18" i="14"/>
  <c r="C19" i="14"/>
  <c r="C20" i="14"/>
  <c r="C21" i="14"/>
  <c r="C22" i="14"/>
  <c r="C23" i="14"/>
  <c r="C24" i="14"/>
  <c r="C25" i="14"/>
  <c r="C26" i="14"/>
  <c r="C27" i="14"/>
  <c r="C28" i="14"/>
  <c r="C29" i="14"/>
  <c r="C30" i="14"/>
  <c r="C31" i="14"/>
  <c r="C32" i="14"/>
  <c r="C33" i="14"/>
  <c r="C34" i="14"/>
  <c r="C35" i="14"/>
  <c r="C36" i="14"/>
  <c r="C37" i="14"/>
  <c r="C38" i="14"/>
  <c r="C39" i="14"/>
  <c r="C17" i="14"/>
  <c r="L36" i="13"/>
  <c r="L37" i="13"/>
  <c r="L38" i="13"/>
  <c r="L39" i="13"/>
  <c r="L40" i="13"/>
  <c r="L41" i="13"/>
  <c r="L42" i="13"/>
  <c r="L43" i="13"/>
  <c r="L44" i="13"/>
  <c r="L45" i="13"/>
  <c r="L46" i="13"/>
  <c r="L47" i="13"/>
  <c r="L48" i="13"/>
  <c r="L49" i="13"/>
  <c r="L50" i="13"/>
  <c r="L51" i="13"/>
  <c r="L52" i="13"/>
  <c r="L53" i="13"/>
  <c r="L54" i="13"/>
  <c r="L55" i="13"/>
  <c r="L56" i="13"/>
  <c r="L57" i="13"/>
  <c r="L35" i="13"/>
  <c r="J36" i="13"/>
  <c r="J37" i="13"/>
  <c r="J38" i="13"/>
  <c r="J39" i="13"/>
  <c r="J40" i="13"/>
  <c r="J41" i="13"/>
  <c r="J42" i="13"/>
  <c r="J43" i="13"/>
  <c r="J44" i="13"/>
  <c r="J45" i="13"/>
  <c r="J46" i="13"/>
  <c r="J47" i="13"/>
  <c r="J48" i="13"/>
  <c r="J49" i="13"/>
  <c r="J50" i="13"/>
  <c r="J51" i="13"/>
  <c r="J52" i="13"/>
  <c r="J53" i="13"/>
  <c r="J54" i="13"/>
  <c r="J55" i="13"/>
  <c r="J56" i="13"/>
  <c r="J57" i="13"/>
  <c r="J35" i="13"/>
  <c r="I36" i="13"/>
  <c r="I37" i="13"/>
  <c r="I38" i="13"/>
  <c r="I39" i="13"/>
  <c r="I40" i="13"/>
  <c r="I41" i="13"/>
  <c r="I42" i="13"/>
  <c r="I43" i="13"/>
  <c r="I44" i="13"/>
  <c r="I45" i="13"/>
  <c r="I46" i="13"/>
  <c r="I47" i="13"/>
  <c r="I48" i="13"/>
  <c r="I49" i="13"/>
  <c r="I50" i="13"/>
  <c r="I51" i="13"/>
  <c r="I52" i="13"/>
  <c r="I53" i="13"/>
  <c r="I54" i="13"/>
  <c r="I55" i="13"/>
  <c r="I56" i="13"/>
  <c r="I57" i="13"/>
  <c r="I35" i="13"/>
  <c r="H36" i="13"/>
  <c r="H37" i="13"/>
  <c r="H38" i="13"/>
  <c r="H39" i="13"/>
  <c r="H40" i="13"/>
  <c r="H41" i="13"/>
  <c r="H42" i="13"/>
  <c r="H43" i="13"/>
  <c r="H44" i="13"/>
  <c r="H45" i="13"/>
  <c r="H46" i="13"/>
  <c r="H47" i="13"/>
  <c r="H48" i="13"/>
  <c r="H49" i="13"/>
  <c r="H50" i="13"/>
  <c r="H51" i="13"/>
  <c r="H52" i="13"/>
  <c r="H53" i="13"/>
  <c r="H54" i="13"/>
  <c r="H55" i="13"/>
  <c r="H56" i="13"/>
  <c r="H57" i="13"/>
  <c r="H35" i="13"/>
  <c r="G36" i="13"/>
  <c r="G37" i="13"/>
  <c r="G38" i="13"/>
  <c r="G39" i="13"/>
  <c r="G40" i="13"/>
  <c r="G41" i="13"/>
  <c r="G42" i="13"/>
  <c r="G43" i="13"/>
  <c r="G44" i="13"/>
  <c r="G45" i="13"/>
  <c r="G46" i="13"/>
  <c r="G47" i="13"/>
  <c r="G48" i="13"/>
  <c r="G49" i="13"/>
  <c r="G50" i="13"/>
  <c r="G51" i="13"/>
  <c r="G52" i="13"/>
  <c r="G53" i="13"/>
  <c r="G54" i="13"/>
  <c r="G55" i="13"/>
  <c r="G56" i="13"/>
  <c r="G57" i="13"/>
  <c r="G35" i="13"/>
  <c r="C36" i="13"/>
  <c r="M36" i="13" s="1"/>
  <c r="C37" i="13"/>
  <c r="M37" i="13" s="1"/>
  <c r="C38" i="13"/>
  <c r="M38" i="13" s="1"/>
  <c r="C39" i="13"/>
  <c r="M39" i="13" s="1"/>
  <c r="C40" i="13"/>
  <c r="M40" i="13" s="1"/>
  <c r="C41" i="13"/>
  <c r="C42" i="13"/>
  <c r="C43" i="13"/>
  <c r="M43" i="13" s="1"/>
  <c r="C44" i="13"/>
  <c r="C45" i="13"/>
  <c r="C46" i="13"/>
  <c r="C47" i="13"/>
  <c r="C48" i="13"/>
  <c r="M48" i="13" s="1"/>
  <c r="C49" i="13"/>
  <c r="C50" i="13"/>
  <c r="C51" i="13"/>
  <c r="C52" i="13"/>
  <c r="C53" i="13"/>
  <c r="C54" i="13"/>
  <c r="M54" i="13" s="1"/>
  <c r="C55" i="13"/>
  <c r="C56" i="13"/>
  <c r="C57" i="13"/>
  <c r="C35" i="13"/>
  <c r="M35" i="13" s="1"/>
  <c r="L56" i="15"/>
  <c r="L55" i="15"/>
  <c r="L54" i="15"/>
  <c r="L53" i="15"/>
  <c r="L52" i="15"/>
  <c r="L51" i="15"/>
  <c r="L50" i="15"/>
  <c r="L49" i="15"/>
  <c r="L48" i="15"/>
  <c r="L47" i="15"/>
  <c r="L46" i="15"/>
  <c r="L45" i="15"/>
  <c r="L44" i="15"/>
  <c r="L43" i="15"/>
  <c r="L42" i="15"/>
  <c r="L41" i="15"/>
  <c r="L40" i="15"/>
  <c r="L39" i="15"/>
  <c r="L38" i="15"/>
  <c r="L37" i="15"/>
  <c r="L36" i="15"/>
  <c r="L35" i="15"/>
  <c r="L57" i="15"/>
  <c r="M43" i="15" l="1"/>
  <c r="E25" i="14" s="1"/>
  <c r="M37" i="15"/>
  <c r="E19" i="14" s="1"/>
  <c r="M45" i="15"/>
  <c r="E27" i="14" s="1"/>
  <c r="M52" i="15"/>
  <c r="E34" i="14" s="1"/>
  <c r="M40" i="15"/>
  <c r="E22" i="14" s="1"/>
  <c r="M48" i="15"/>
  <c r="E30" i="14" s="1"/>
  <c r="M56" i="15"/>
  <c r="E38" i="14" s="1"/>
  <c r="B13" i="14"/>
  <c r="C58" i="14" s="1"/>
  <c r="C85" i="14" s="1"/>
  <c r="C12" i="14"/>
  <c r="C13" i="14" s="1"/>
  <c r="D48" i="14" s="1"/>
  <c r="D75" i="14" s="1"/>
  <c r="M41" i="15"/>
  <c r="E23" i="14" s="1"/>
  <c r="M53" i="15"/>
  <c r="E35" i="14" s="1"/>
  <c r="M47" i="15"/>
  <c r="E29" i="14" s="1"/>
  <c r="M38" i="15"/>
  <c r="E20" i="14" s="1"/>
  <c r="M35" i="15"/>
  <c r="E17" i="14" s="1"/>
  <c r="M51" i="15"/>
  <c r="E33" i="14" s="1"/>
  <c r="M42" i="15"/>
  <c r="E24" i="14" s="1"/>
  <c r="M54" i="15"/>
  <c r="E36" i="14" s="1"/>
  <c r="M49" i="15"/>
  <c r="E31" i="14" s="1"/>
  <c r="M36" i="15"/>
  <c r="E18" i="14" s="1"/>
  <c r="M55" i="15"/>
  <c r="E37" i="14" s="1"/>
  <c r="M57" i="15"/>
  <c r="E39" i="14" s="1"/>
  <c r="D12" i="14"/>
  <c r="D13" i="14" s="1"/>
  <c r="C7" i="14"/>
  <c r="M50" i="15"/>
  <c r="E32" i="14" s="1"/>
  <c r="M46" i="15"/>
  <c r="E28" i="14" s="1"/>
  <c r="M39" i="15"/>
  <c r="E21" i="14" s="1"/>
  <c r="M44" i="15"/>
  <c r="E26" i="14" s="1"/>
  <c r="M57" i="13"/>
  <c r="M30" i="13" l="1"/>
  <c r="L30" i="13"/>
  <c r="L74" i="13" s="1"/>
  <c r="K30" i="13"/>
  <c r="K64" i="13" s="1"/>
  <c r="G30" i="13"/>
  <c r="G78" i="13" s="1"/>
  <c r="D30" i="13"/>
  <c r="D76" i="13" s="1"/>
  <c r="J30" i="13"/>
  <c r="J62" i="13" s="1"/>
  <c r="F30" i="13"/>
  <c r="F79" i="13" s="1"/>
  <c r="I30" i="13"/>
  <c r="I81" i="13" s="1"/>
  <c r="E30" i="13"/>
  <c r="E68" i="13" s="1"/>
  <c r="H30" i="13"/>
  <c r="H77" i="13" s="1"/>
  <c r="C65" i="14"/>
  <c r="C92" i="14" s="1"/>
  <c r="C50" i="14"/>
  <c r="C77" i="14" s="1"/>
  <c r="E56" i="14"/>
  <c r="C55" i="14"/>
  <c r="C82" i="14" s="1"/>
  <c r="C45" i="14"/>
  <c r="C72" i="14" s="1"/>
  <c r="C48" i="14"/>
  <c r="C75" i="14" s="1"/>
  <c r="D61" i="14"/>
  <c r="D88" i="14" s="1"/>
  <c r="D47" i="14"/>
  <c r="D74" i="14" s="1"/>
  <c r="C60" i="14"/>
  <c r="C87" i="14" s="1"/>
  <c r="C49" i="14"/>
  <c r="C76" i="14" s="1"/>
  <c r="C43" i="14"/>
  <c r="C70" i="14" s="1"/>
  <c r="C57" i="14"/>
  <c r="C84" i="14" s="1"/>
  <c r="C52" i="14"/>
  <c r="C79" i="14" s="1"/>
  <c r="D45" i="14"/>
  <c r="D72" i="14" s="1"/>
  <c r="D52" i="14"/>
  <c r="D79" i="14" s="1"/>
  <c r="D64" i="14"/>
  <c r="D91" i="14" s="1"/>
  <c r="C44" i="14"/>
  <c r="C71" i="14" s="1"/>
  <c r="C47" i="14"/>
  <c r="C74" i="14" s="1"/>
  <c r="C59" i="14"/>
  <c r="C86" i="14" s="1"/>
  <c r="C56" i="14"/>
  <c r="C83" i="14" s="1"/>
  <c r="C54" i="14"/>
  <c r="C81" i="14" s="1"/>
  <c r="C46" i="14"/>
  <c r="C73" i="14" s="1"/>
  <c r="C51" i="14"/>
  <c r="C78" i="14" s="1"/>
  <c r="D43" i="14"/>
  <c r="D70" i="14" s="1"/>
  <c r="D54" i="14"/>
  <c r="D81" i="14" s="1"/>
  <c r="D44" i="14"/>
  <c r="D71" i="14" s="1"/>
  <c r="D56" i="14"/>
  <c r="D83" i="14" s="1"/>
  <c r="C62" i="14"/>
  <c r="C89" i="14" s="1"/>
  <c r="C64" i="14"/>
  <c r="C91" i="14" s="1"/>
  <c r="C63" i="14"/>
  <c r="C90" i="14" s="1"/>
  <c r="C53" i="14"/>
  <c r="C80" i="14" s="1"/>
  <c r="D53" i="14"/>
  <c r="D80" i="14" s="1"/>
  <c r="D65" i="14"/>
  <c r="D92" i="14" s="1"/>
  <c r="D59" i="14"/>
  <c r="D86" i="14" s="1"/>
  <c r="D63" i="14"/>
  <c r="D90" i="14" s="1"/>
  <c r="C61" i="14"/>
  <c r="C88" i="14" s="1"/>
  <c r="D62" i="14"/>
  <c r="D89" i="14" s="1"/>
  <c r="D46" i="14"/>
  <c r="D73" i="14" s="1"/>
  <c r="D49" i="14"/>
  <c r="D76" i="14" s="1"/>
  <c r="D57" i="14"/>
  <c r="D84" i="14" s="1"/>
  <c r="D55" i="14"/>
  <c r="D82" i="14" s="1"/>
  <c r="D50" i="14"/>
  <c r="D77" i="14" s="1"/>
  <c r="D58" i="14"/>
  <c r="D85" i="14" s="1"/>
  <c r="D60" i="14"/>
  <c r="D87" i="14" s="1"/>
  <c r="D51" i="14"/>
  <c r="D78" i="14" s="1"/>
  <c r="E52" i="14"/>
  <c r="E53" i="14"/>
  <c r="E46" i="14"/>
  <c r="E50" i="14"/>
  <c r="E57" i="14"/>
  <c r="E43" i="14"/>
  <c r="E47" i="14"/>
  <c r="E61" i="14"/>
  <c r="E54" i="14"/>
  <c r="E44" i="14"/>
  <c r="E49" i="14"/>
  <c r="E55" i="14"/>
  <c r="E51" i="14"/>
  <c r="E60" i="14"/>
  <c r="E63" i="14"/>
  <c r="E64" i="14"/>
  <c r="E45" i="14"/>
  <c r="E65" i="14"/>
  <c r="E12" i="14"/>
  <c r="E58" i="14"/>
  <c r="E48" i="14"/>
  <c r="E62" i="14"/>
  <c r="E59" i="14"/>
  <c r="N29" i="13" l="1"/>
  <c r="M66" i="13"/>
  <c r="M95" i="13" s="1"/>
  <c r="M82" i="13"/>
  <c r="M111" i="13" s="1"/>
  <c r="M63" i="13"/>
  <c r="M92" i="13" s="1"/>
  <c r="M79" i="13"/>
  <c r="M108" i="13" s="1"/>
  <c r="M72" i="13"/>
  <c r="M101" i="13" s="1"/>
  <c r="M77" i="13"/>
  <c r="M106" i="13" s="1"/>
  <c r="M64" i="13"/>
  <c r="M93" i="13" s="1"/>
  <c r="M70" i="13"/>
  <c r="M99" i="13" s="1"/>
  <c r="M69" i="13"/>
  <c r="M98" i="13" s="1"/>
  <c r="M67" i="13"/>
  <c r="M96" i="13" s="1"/>
  <c r="M83" i="13"/>
  <c r="M112" i="13" s="1"/>
  <c r="M76" i="13"/>
  <c r="M105" i="13" s="1"/>
  <c r="M74" i="13"/>
  <c r="M103" i="13" s="1"/>
  <c r="M80" i="13"/>
  <c r="M109" i="13" s="1"/>
  <c r="M71" i="13"/>
  <c r="M100" i="13" s="1"/>
  <c r="M62" i="13"/>
  <c r="M91" i="13" s="1"/>
  <c r="M78" i="13"/>
  <c r="M107" i="13" s="1"/>
  <c r="M81" i="13"/>
  <c r="M110" i="13" s="1"/>
  <c r="M75" i="13"/>
  <c r="M104" i="13" s="1"/>
  <c r="M68" i="13"/>
  <c r="M97" i="13" s="1"/>
  <c r="M61" i="13"/>
  <c r="M90" i="13" s="1"/>
  <c r="M65" i="13"/>
  <c r="M94" i="13" s="1"/>
  <c r="M73" i="13"/>
  <c r="M102" i="13" s="1"/>
  <c r="K93" i="13"/>
  <c r="G107" i="13"/>
  <c r="J91" i="13"/>
  <c r="E97" i="13"/>
  <c r="D67" i="13"/>
  <c r="D78" i="13"/>
  <c r="D79" i="13"/>
  <c r="D80" i="13"/>
  <c r="D72" i="13"/>
  <c r="B30" i="13"/>
  <c r="C68" i="13" s="1"/>
  <c r="B31" i="13"/>
  <c r="E86" i="14"/>
  <c r="F86" i="14" s="1"/>
  <c r="E90" i="14"/>
  <c r="F90" i="14" s="1"/>
  <c r="E76" i="14"/>
  <c r="F76" i="14" s="1"/>
  <c r="E89" i="14"/>
  <c r="F89" i="14" s="1"/>
  <c r="E87" i="14"/>
  <c r="F87" i="14" s="1"/>
  <c r="E70" i="14"/>
  <c r="F70" i="14" s="1"/>
  <c r="E75" i="14"/>
  <c r="F75" i="14" s="1"/>
  <c r="E72" i="14"/>
  <c r="F72" i="14" s="1"/>
  <c r="E78" i="14"/>
  <c r="F78" i="14" s="1"/>
  <c r="E81" i="14"/>
  <c r="F81" i="14" s="1"/>
  <c r="E84" i="14"/>
  <c r="F84" i="14" s="1"/>
  <c r="E79" i="14"/>
  <c r="F79" i="14" s="1"/>
  <c r="E74" i="14"/>
  <c r="F74" i="14" s="1"/>
  <c r="E73" i="14"/>
  <c r="F73" i="14" s="1"/>
  <c r="E92" i="14"/>
  <c r="F92" i="14" s="1"/>
  <c r="E71" i="14"/>
  <c r="F71" i="14" s="1"/>
  <c r="E80" i="14"/>
  <c r="F80" i="14" s="1"/>
  <c r="E85" i="14"/>
  <c r="F85" i="14" s="1"/>
  <c r="E91" i="14"/>
  <c r="F91" i="14" s="1"/>
  <c r="E82" i="14"/>
  <c r="F82" i="14" s="1"/>
  <c r="E88" i="14"/>
  <c r="F88" i="14" s="1"/>
  <c r="E77" i="14"/>
  <c r="F77" i="14" s="1"/>
  <c r="E83" i="14"/>
  <c r="F83" i="14" s="1"/>
  <c r="D65" i="13"/>
  <c r="J72" i="13"/>
  <c r="D69" i="13"/>
  <c r="D63" i="13"/>
  <c r="D74" i="13"/>
  <c r="J65" i="13"/>
  <c r="J82" i="13"/>
  <c r="J70" i="13"/>
  <c r="J74" i="13"/>
  <c r="J79" i="13"/>
  <c r="J77" i="13"/>
  <c r="J75" i="13"/>
  <c r="J80" i="13"/>
  <c r="G77" i="13"/>
  <c r="G82" i="13"/>
  <c r="J63" i="13"/>
  <c r="J66" i="13"/>
  <c r="J73" i="13"/>
  <c r="G70" i="13"/>
  <c r="G74" i="13"/>
  <c r="G62" i="13"/>
  <c r="G69" i="13"/>
  <c r="G73" i="13"/>
  <c r="G71" i="13"/>
  <c r="G79" i="13"/>
  <c r="G81" i="13"/>
  <c r="G65" i="13"/>
  <c r="G64" i="13"/>
  <c r="G61" i="13"/>
  <c r="G63" i="13"/>
  <c r="G72" i="13"/>
  <c r="G68" i="13"/>
  <c r="G67" i="13"/>
  <c r="G76" i="13"/>
  <c r="G75" i="13"/>
  <c r="G80" i="13"/>
  <c r="G66" i="13"/>
  <c r="F56" i="14"/>
  <c r="J81" i="13"/>
  <c r="J64" i="13"/>
  <c r="J69" i="13"/>
  <c r="J67" i="13"/>
  <c r="J68" i="13"/>
  <c r="J78" i="13"/>
  <c r="J71" i="13"/>
  <c r="J76" i="13"/>
  <c r="J61" i="13"/>
  <c r="F54" i="14"/>
  <c r="I69" i="13"/>
  <c r="J31" i="13"/>
  <c r="I65" i="13"/>
  <c r="I77" i="13"/>
  <c r="I68" i="13"/>
  <c r="I80" i="13"/>
  <c r="I76" i="13"/>
  <c r="I78" i="13"/>
  <c r="I82" i="13"/>
  <c r="F60" i="14"/>
  <c r="F53" i="14"/>
  <c r="K70" i="13"/>
  <c r="K77" i="13"/>
  <c r="K61" i="13"/>
  <c r="K72" i="13"/>
  <c r="K73" i="13"/>
  <c r="K78" i="13"/>
  <c r="K67" i="13"/>
  <c r="K81" i="13"/>
  <c r="K63" i="13"/>
  <c r="K69" i="13"/>
  <c r="K82" i="13"/>
  <c r="I74" i="13"/>
  <c r="K65" i="13"/>
  <c r="K62" i="13"/>
  <c r="K71" i="13"/>
  <c r="K66" i="13"/>
  <c r="K74" i="13"/>
  <c r="K76" i="13"/>
  <c r="K68" i="13"/>
  <c r="K79" i="13"/>
  <c r="K80" i="13"/>
  <c r="K75" i="13"/>
  <c r="D31" i="13"/>
  <c r="H31" i="13"/>
  <c r="F75" i="13"/>
  <c r="E31" i="13"/>
  <c r="G31" i="13"/>
  <c r="D71" i="13"/>
  <c r="D82" i="13"/>
  <c r="H73" i="13"/>
  <c r="F61" i="13"/>
  <c r="K31" i="13"/>
  <c r="I62" i="13"/>
  <c r="M31" i="13"/>
  <c r="I73" i="13"/>
  <c r="L31" i="13"/>
  <c r="I61" i="13"/>
  <c r="I79" i="13"/>
  <c r="I67" i="13"/>
  <c r="I75" i="13"/>
  <c r="D61" i="13"/>
  <c r="D66" i="13"/>
  <c r="D70" i="13"/>
  <c r="D64" i="13"/>
  <c r="H67" i="13"/>
  <c r="F71" i="13"/>
  <c r="F31" i="13"/>
  <c r="I31" i="13"/>
  <c r="I66" i="13"/>
  <c r="I72" i="13"/>
  <c r="I70" i="13"/>
  <c r="I71" i="13"/>
  <c r="I64" i="13"/>
  <c r="I63" i="13"/>
  <c r="F81" i="13"/>
  <c r="H74" i="13"/>
  <c r="F74" i="13"/>
  <c r="I110" i="13"/>
  <c r="H79" i="13"/>
  <c r="H71" i="13"/>
  <c r="F69" i="13"/>
  <c r="F80" i="13"/>
  <c r="H75" i="13"/>
  <c r="D81" i="13"/>
  <c r="D68" i="13"/>
  <c r="D62" i="13"/>
  <c r="D75" i="13"/>
  <c r="D77" i="13"/>
  <c r="D73" i="13"/>
  <c r="H61" i="13"/>
  <c r="H72" i="13"/>
  <c r="F68" i="13"/>
  <c r="F67" i="13"/>
  <c r="F65" i="13"/>
  <c r="F64" i="13"/>
  <c r="H78" i="13"/>
  <c r="F47" i="14"/>
  <c r="F57" i="14"/>
  <c r="F52" i="14"/>
  <c r="E76" i="13"/>
  <c r="H63" i="13"/>
  <c r="H80" i="13"/>
  <c r="H70" i="13"/>
  <c r="F64" i="14"/>
  <c r="H64" i="13"/>
  <c r="H66" i="13"/>
  <c r="H65" i="13"/>
  <c r="F72" i="13"/>
  <c r="H76" i="13"/>
  <c r="F78" i="13"/>
  <c r="F62" i="13"/>
  <c r="H81" i="13"/>
  <c r="F66" i="13"/>
  <c r="F55" i="14"/>
  <c r="F70" i="13"/>
  <c r="F58" i="14"/>
  <c r="F51" i="14"/>
  <c r="F62" i="14"/>
  <c r="F43" i="14"/>
  <c r="F45" i="14"/>
  <c r="F44" i="14"/>
  <c r="L71" i="13"/>
  <c r="F50" i="14"/>
  <c r="F61" i="14"/>
  <c r="F59" i="14"/>
  <c r="F49" i="14"/>
  <c r="F63" i="14"/>
  <c r="F46" i="14"/>
  <c r="F65" i="14"/>
  <c r="F48" i="14"/>
  <c r="E64" i="13"/>
  <c r="L68" i="13"/>
  <c r="E66" i="13"/>
  <c r="L82" i="13"/>
  <c r="L62" i="13"/>
  <c r="L65" i="13"/>
  <c r="E70" i="13"/>
  <c r="L64" i="13"/>
  <c r="L77" i="13"/>
  <c r="E74" i="13"/>
  <c r="F82" i="13"/>
  <c r="L81" i="13"/>
  <c r="L79" i="13"/>
  <c r="F77" i="13"/>
  <c r="L66" i="13"/>
  <c r="F73" i="13"/>
  <c r="F63" i="13"/>
  <c r="L80" i="13"/>
  <c r="F76" i="13"/>
  <c r="L103" i="13"/>
  <c r="E65" i="13"/>
  <c r="E72" i="13"/>
  <c r="E79" i="13"/>
  <c r="E73" i="13"/>
  <c r="E77" i="13"/>
  <c r="L70" i="13"/>
  <c r="L73" i="13"/>
  <c r="E80" i="13"/>
  <c r="E78" i="13"/>
  <c r="E62" i="13"/>
  <c r="E75" i="13"/>
  <c r="E82" i="13"/>
  <c r="E81" i="13"/>
  <c r="D105" i="13"/>
  <c r="L61" i="13"/>
  <c r="L72" i="13"/>
  <c r="L75" i="13"/>
  <c r="L63" i="13"/>
  <c r="H106" i="13"/>
  <c r="E67" i="13"/>
  <c r="E63" i="13"/>
  <c r="E61" i="13"/>
  <c r="E69" i="13"/>
  <c r="E71" i="13"/>
  <c r="H62" i="13"/>
  <c r="H69" i="13"/>
  <c r="L76" i="13"/>
  <c r="H68" i="13"/>
  <c r="L69" i="13"/>
  <c r="L78" i="13"/>
  <c r="H82" i="13"/>
  <c r="L67" i="13"/>
  <c r="F108" i="13"/>
  <c r="C64" i="13" l="1"/>
  <c r="C93" i="13" s="1"/>
  <c r="C66" i="14"/>
  <c r="C72" i="13"/>
  <c r="C101" i="13" s="1"/>
  <c r="L95" i="13"/>
  <c r="I93" i="13"/>
  <c r="H96" i="13"/>
  <c r="K109" i="13"/>
  <c r="K94" i="13"/>
  <c r="K102" i="13"/>
  <c r="I107" i="13"/>
  <c r="I98" i="13"/>
  <c r="G96" i="13"/>
  <c r="G108" i="13"/>
  <c r="I99" i="13"/>
  <c r="K111" i="13"/>
  <c r="K90" i="13"/>
  <c r="I109" i="13"/>
  <c r="G101" i="13"/>
  <c r="G102" i="13"/>
  <c r="G111" i="13"/>
  <c r="C97" i="13"/>
  <c r="H99" i="13"/>
  <c r="K98" i="13"/>
  <c r="K106" i="13"/>
  <c r="I97" i="13"/>
  <c r="G92" i="13"/>
  <c r="G98" i="13"/>
  <c r="G106" i="13"/>
  <c r="H100" i="13"/>
  <c r="L111" i="13"/>
  <c r="H109" i="13"/>
  <c r="I95" i="13"/>
  <c r="I91" i="13"/>
  <c r="K103" i="13"/>
  <c r="K92" i="13"/>
  <c r="K99" i="13"/>
  <c r="I106" i="13"/>
  <c r="G95" i="13"/>
  <c r="G90" i="13"/>
  <c r="G91" i="13"/>
  <c r="G97" i="13"/>
  <c r="L91" i="13"/>
  <c r="H105" i="13"/>
  <c r="H92" i="13"/>
  <c r="K110" i="13"/>
  <c r="I94" i="13"/>
  <c r="G109" i="13"/>
  <c r="G93" i="13"/>
  <c r="G103" i="13"/>
  <c r="L108" i="13"/>
  <c r="H101" i="13"/>
  <c r="H104" i="13"/>
  <c r="K100" i="13"/>
  <c r="G104" i="13"/>
  <c r="G94" i="13"/>
  <c r="G99" i="13"/>
  <c r="I100" i="13"/>
  <c r="I105" i="13"/>
  <c r="G100" i="13"/>
  <c r="H102" i="13"/>
  <c r="K107" i="13"/>
  <c r="G105" i="13"/>
  <c r="G110" i="13"/>
  <c r="J104" i="13"/>
  <c r="J97" i="13"/>
  <c r="J100" i="13"/>
  <c r="J106" i="13"/>
  <c r="J96" i="13"/>
  <c r="J108" i="13"/>
  <c r="J101" i="13"/>
  <c r="J98" i="13"/>
  <c r="J103" i="13"/>
  <c r="J93" i="13"/>
  <c r="J92" i="13"/>
  <c r="J99" i="13"/>
  <c r="J90" i="13"/>
  <c r="J111" i="13"/>
  <c r="J110" i="13"/>
  <c r="J105" i="13"/>
  <c r="J94" i="13"/>
  <c r="J107" i="13"/>
  <c r="J102" i="13"/>
  <c r="J95" i="13"/>
  <c r="J109" i="13"/>
  <c r="F91" i="13"/>
  <c r="E91" i="13"/>
  <c r="E101" i="13"/>
  <c r="F106" i="13"/>
  <c r="F93" i="13"/>
  <c r="D99" i="13"/>
  <c r="D103" i="13"/>
  <c r="D109" i="13"/>
  <c r="D110" i="13"/>
  <c r="D92" i="13"/>
  <c r="D108" i="13"/>
  <c r="E107" i="13"/>
  <c r="D95" i="13"/>
  <c r="E100" i="13"/>
  <c r="F107" i="13"/>
  <c r="E90" i="13"/>
  <c r="E105" i="13"/>
  <c r="F110" i="13"/>
  <c r="F90" i="13"/>
  <c r="D98" i="13"/>
  <c r="D107" i="13"/>
  <c r="F94" i="13"/>
  <c r="D90" i="13"/>
  <c r="E98" i="13"/>
  <c r="E93" i="13"/>
  <c r="F109" i="13"/>
  <c r="D96" i="13"/>
  <c r="E94" i="13"/>
  <c r="E109" i="13"/>
  <c r="E92" i="13"/>
  <c r="E106" i="13"/>
  <c r="E111" i="13"/>
  <c r="F102" i="13"/>
  <c r="D94" i="13"/>
  <c r="D101" i="13"/>
  <c r="E95" i="13"/>
  <c r="E103" i="13"/>
  <c r="E110" i="13"/>
  <c r="E96" i="13"/>
  <c r="E102" i="13"/>
  <c r="E104" i="13"/>
  <c r="E108" i="13"/>
  <c r="E99" i="13"/>
  <c r="F95" i="13"/>
  <c r="D106" i="13"/>
  <c r="D93" i="13"/>
  <c r="C66" i="13"/>
  <c r="N66" i="13" s="1"/>
  <c r="C73" i="13"/>
  <c r="C81" i="13"/>
  <c r="N81" i="13" s="1"/>
  <c r="C63" i="13"/>
  <c r="N63" i="13" s="1"/>
  <c r="C71" i="13"/>
  <c r="C67" i="13"/>
  <c r="C62" i="13"/>
  <c r="N62" i="13" s="1"/>
  <c r="C65" i="13"/>
  <c r="N65" i="13" s="1"/>
  <c r="C78" i="13"/>
  <c r="C76" i="13"/>
  <c r="C75" i="13"/>
  <c r="C80" i="13"/>
  <c r="C82" i="13"/>
  <c r="C69" i="13"/>
  <c r="C74" i="13"/>
  <c r="C61" i="13"/>
  <c r="C70" i="13"/>
  <c r="C77" i="13"/>
  <c r="C79" i="13"/>
  <c r="G83" i="13"/>
  <c r="J83" i="13"/>
  <c r="H103" i="13"/>
  <c r="H95" i="13"/>
  <c r="I111" i="13"/>
  <c r="K95" i="13"/>
  <c r="H108" i="13"/>
  <c r="I92" i="13"/>
  <c r="K97" i="13"/>
  <c r="I103" i="13"/>
  <c r="F104" i="13"/>
  <c r="D100" i="13"/>
  <c r="K101" i="13"/>
  <c r="H107" i="13"/>
  <c r="I102" i="13"/>
  <c r="K108" i="13"/>
  <c r="K96" i="13"/>
  <c r="K105" i="13"/>
  <c r="D111" i="13"/>
  <c r="I90" i="13"/>
  <c r="K83" i="13"/>
  <c r="F103" i="13"/>
  <c r="K104" i="13"/>
  <c r="K91" i="13"/>
  <c r="F99" i="13"/>
  <c r="F96" i="13"/>
  <c r="N31" i="13"/>
  <c r="F98" i="13"/>
  <c r="I96" i="13"/>
  <c r="F97" i="13"/>
  <c r="I83" i="13"/>
  <c r="I108" i="13"/>
  <c r="I101" i="13"/>
  <c r="F100" i="13"/>
  <c r="I104" i="13"/>
  <c r="D102" i="13"/>
  <c r="D97" i="13"/>
  <c r="D104" i="13"/>
  <c r="D83" i="13"/>
  <c r="L106" i="13"/>
  <c r="H90" i="13"/>
  <c r="D91" i="13"/>
  <c r="H110" i="13"/>
  <c r="H94" i="13"/>
  <c r="H83" i="13"/>
  <c r="L97" i="13"/>
  <c r="H93" i="13"/>
  <c r="F101" i="13"/>
  <c r="F92" i="13"/>
  <c r="L110" i="13"/>
  <c r="L100" i="13"/>
  <c r="L94" i="13"/>
  <c r="E66" i="14"/>
  <c r="D66" i="14"/>
  <c r="F111" i="13"/>
  <c r="F105" i="13"/>
  <c r="L93" i="13"/>
  <c r="F83" i="13"/>
  <c r="L109" i="13"/>
  <c r="H91" i="13"/>
  <c r="E83" i="13"/>
  <c r="L105" i="13"/>
  <c r="L90" i="13"/>
  <c r="L102" i="13"/>
  <c r="L99" i="13"/>
  <c r="H111" i="13"/>
  <c r="L98" i="13"/>
  <c r="L104" i="13"/>
  <c r="L83" i="13"/>
  <c r="L96" i="13"/>
  <c r="L92" i="13"/>
  <c r="L107" i="13"/>
  <c r="H97" i="13"/>
  <c r="H98" i="13"/>
  <c r="L101" i="13"/>
  <c r="N68" i="13"/>
  <c r="N64" i="13" l="1"/>
  <c r="N72" i="13"/>
  <c r="I112" i="13"/>
  <c r="C111" i="13"/>
  <c r="N111" i="13" s="1"/>
  <c r="C98" i="13"/>
  <c r="N98" i="13" s="1"/>
  <c r="C96" i="13"/>
  <c r="N96" i="13" s="1"/>
  <c r="C100" i="13"/>
  <c r="N100" i="13" s="1"/>
  <c r="C92" i="13"/>
  <c r="N92" i="13" s="1"/>
  <c r="C108" i="13"/>
  <c r="N108" i="13" s="1"/>
  <c r="C104" i="13"/>
  <c r="N104" i="13" s="1"/>
  <c r="C110" i="13"/>
  <c r="N110" i="13" s="1"/>
  <c r="G112" i="13"/>
  <c r="C106" i="13"/>
  <c r="N106" i="13" s="1"/>
  <c r="C105" i="13"/>
  <c r="N105" i="13" s="1"/>
  <c r="C102" i="13"/>
  <c r="N102" i="13" s="1"/>
  <c r="C109" i="13"/>
  <c r="N109" i="13" s="1"/>
  <c r="C99" i="13"/>
  <c r="N99" i="13" s="1"/>
  <c r="C107" i="13"/>
  <c r="N107" i="13" s="1"/>
  <c r="C95" i="13"/>
  <c r="N95" i="13" s="1"/>
  <c r="N61" i="13"/>
  <c r="C94" i="13"/>
  <c r="N94" i="13" s="1"/>
  <c r="K112" i="13"/>
  <c r="N79" i="13"/>
  <c r="N73" i="13"/>
  <c r="C103" i="13"/>
  <c r="N103" i="13" s="1"/>
  <c r="C91" i="13"/>
  <c r="N91" i="13" s="1"/>
  <c r="J112" i="13"/>
  <c r="E27" i="12"/>
  <c r="E14" i="12"/>
  <c r="E8" i="12"/>
  <c r="E11" i="12"/>
  <c r="E12" i="12"/>
  <c r="E9" i="12"/>
  <c r="N69" i="13"/>
  <c r="N77" i="13"/>
  <c r="N76" i="13"/>
  <c r="N71" i="13"/>
  <c r="N67" i="13"/>
  <c r="N78" i="13"/>
  <c r="N74" i="13"/>
  <c r="N75" i="13"/>
  <c r="C83" i="13"/>
  <c r="N70" i="13"/>
  <c r="N82" i="13"/>
  <c r="C90" i="13"/>
  <c r="N90" i="13" s="1"/>
  <c r="N80" i="13"/>
  <c r="F112" i="13"/>
  <c r="D112" i="13"/>
  <c r="E112" i="13"/>
  <c r="N93" i="13"/>
  <c r="H112" i="13"/>
  <c r="F66" i="14"/>
  <c r="N97" i="13"/>
  <c r="N101" i="13"/>
  <c r="L112" i="13"/>
  <c r="G27" i="12" l="1"/>
  <c r="G8" i="12"/>
  <c r="G12" i="12"/>
  <c r="G11" i="12"/>
  <c r="G9" i="12"/>
  <c r="G14" i="12"/>
  <c r="E10" i="12"/>
  <c r="E19" i="12"/>
  <c r="E25" i="12"/>
  <c r="E7" i="12"/>
  <c r="E18" i="12"/>
  <c r="N83" i="13"/>
  <c r="E23" i="12"/>
  <c r="E15" i="12"/>
  <c r="E20" i="12"/>
  <c r="E21" i="12"/>
  <c r="E24" i="12"/>
  <c r="E26" i="12"/>
  <c r="E28" i="12"/>
  <c r="E13" i="12"/>
  <c r="E17" i="12"/>
  <c r="E16" i="12"/>
  <c r="E22" i="12"/>
  <c r="C112" i="13"/>
  <c r="N112" i="13" s="1"/>
  <c r="C113" i="13" s="1"/>
  <c r="G26" i="12" l="1"/>
  <c r="G15" i="12"/>
  <c r="G7" i="12"/>
  <c r="G17" i="12"/>
  <c r="G23" i="12"/>
  <c r="G19" i="12"/>
  <c r="G16" i="12"/>
  <c r="G24" i="12"/>
  <c r="G25" i="12"/>
  <c r="G13" i="12"/>
  <c r="G21" i="12"/>
  <c r="G22" i="12"/>
  <c r="G28" i="12"/>
  <c r="G20" i="12"/>
  <c r="G18" i="12"/>
  <c r="G10" i="12"/>
  <c r="E29" i="12"/>
  <c r="G84" i="13"/>
  <c r="C84" i="13"/>
  <c r="M84" i="13"/>
  <c r="F84" i="13"/>
  <c r="L84" i="13"/>
  <c r="I84" i="13"/>
  <c r="J84" i="13"/>
  <c r="H84" i="13"/>
  <c r="E84" i="13"/>
  <c r="D84" i="13"/>
  <c r="K84" i="13"/>
  <c r="L113" i="13"/>
  <c r="F113" i="13"/>
  <c r="N113" i="13"/>
  <c r="M113" i="13"/>
  <c r="I113" i="13"/>
  <c r="K113" i="13"/>
  <c r="D113" i="13"/>
  <c r="G113" i="13"/>
  <c r="J113" i="13"/>
  <c r="H113" i="13"/>
  <c r="E113" i="13"/>
  <c r="G29" i="12" l="1"/>
  <c r="N84" i="13"/>
  <c r="I29" i="12" l="1"/>
  <c r="H8" i="12"/>
  <c r="I8" i="12"/>
  <c r="H28" i="12"/>
  <c r="I28" i="12"/>
  <c r="H17" i="12"/>
  <c r="I17" i="12"/>
  <c r="H24" i="12"/>
  <c r="I24" i="12"/>
  <c r="H9" i="12"/>
  <c r="I9" i="12"/>
  <c r="H21" i="12"/>
  <c r="I21" i="12"/>
  <c r="H12" i="12"/>
  <c r="I12" i="12"/>
  <c r="H27" i="12"/>
  <c r="I27" i="12"/>
  <c r="H20" i="12"/>
  <c r="I20" i="12"/>
  <c r="H23" i="12"/>
  <c r="I23" i="12"/>
  <c r="H19" i="12"/>
  <c r="I19" i="12"/>
  <c r="H25" i="12"/>
  <c r="I25" i="12"/>
  <c r="H13" i="12"/>
  <c r="I13" i="12"/>
  <c r="H10" i="12"/>
  <c r="I10" i="12"/>
  <c r="H22" i="12"/>
  <c r="I22" i="12"/>
  <c r="H11" i="12"/>
  <c r="I11" i="12"/>
  <c r="H16" i="12"/>
  <c r="I16" i="12"/>
  <c r="H14" i="12"/>
  <c r="I14" i="12"/>
  <c r="H15" i="12"/>
  <c r="I15" i="12"/>
  <c r="H18" i="12"/>
  <c r="I18" i="12"/>
  <c r="H26" i="12"/>
  <c r="I26" i="12"/>
  <c r="H29" i="12"/>
  <c r="H7" i="12" l="1"/>
  <c r="I7" i="12"/>
  <c r="B25" i="10"/>
  <c r="B27" i="10" s="1"/>
</calcChain>
</file>

<file path=xl/sharedStrings.xml><?xml version="1.0" encoding="utf-8"?>
<sst xmlns="http://schemas.openxmlformats.org/spreadsheetml/2006/main" count="853" uniqueCount="425">
  <si>
    <t>Rahoituserä</t>
  </si>
  <si>
    <t>euroa</t>
  </si>
  <si>
    <t>Hoitotakuun toteutus</t>
  </si>
  <si>
    <t>Palvelutarve, sote</t>
  </si>
  <si>
    <t>HVA-indeksi, sote</t>
  </si>
  <si>
    <t>HVA-indeksi, pela</t>
  </si>
  <si>
    <t>Yhteensä</t>
  </si>
  <si>
    <t>Määräytymistekijät hyvinvointialueittain</t>
  </si>
  <si>
    <t>Hyvinvointialuekoodi</t>
  </si>
  <si>
    <t>Hyvinvointialue</t>
  </si>
  <si>
    <t>Ruotsinkielisten määrä kaksikielisillä hyvinvointialueilla</t>
  </si>
  <si>
    <t>Saamenkielisten määrä hyvinvointialueella, jolla sijaitsee saamelaisten kotiseutualueen kunnat</t>
  </si>
  <si>
    <t>Vieraskielisten määrä</t>
  </si>
  <si>
    <t>Maapinta-ala, km2</t>
  </si>
  <si>
    <t>Asukastiheys</t>
  </si>
  <si>
    <t>Asukastiheys-kerroin</t>
  </si>
  <si>
    <t>Saaristokuntien saaristossa asuvien määrä</t>
  </si>
  <si>
    <t>Helsinki</t>
  </si>
  <si>
    <t>Vantaa+Kerava</t>
  </si>
  <si>
    <t>Länsi-Uusimaa</t>
  </si>
  <si>
    <t>Itä-Uusimaa</t>
  </si>
  <si>
    <t>Keski-Uusimaa</t>
  </si>
  <si>
    <t>Varsinais-Suomi</t>
  </si>
  <si>
    <t>Satakunta</t>
  </si>
  <si>
    <t>Kanta-Häme</t>
  </si>
  <si>
    <t>Pirkanmaa</t>
  </si>
  <si>
    <t>Päijät-Häme</t>
  </si>
  <si>
    <t>Kymenlaakso</t>
  </si>
  <si>
    <t>Etelä-Karjala</t>
  </si>
  <si>
    <t>Etelä-Savo</t>
  </si>
  <si>
    <t>Pohjois-Savo</t>
  </si>
  <si>
    <t>Pohjois-Karjala</t>
  </si>
  <si>
    <t>Keski-Suomi</t>
  </si>
  <si>
    <t>Etelä-Pohjanmaa</t>
  </si>
  <si>
    <t>Pohjanmaa</t>
  </si>
  <si>
    <t>Keski-Pohjanmaa</t>
  </si>
  <si>
    <t>Pohjois-Pohjanmaa</t>
  </si>
  <si>
    <t>Kainuu</t>
  </si>
  <si>
    <t>Lappi</t>
  </si>
  <si>
    <t>Manner-Suomi yhteensä</t>
  </si>
  <si>
    <t>Asukasluku</t>
  </si>
  <si>
    <t>Asukastiheyskerroin</t>
  </si>
  <si>
    <t xml:space="preserve">Yhteensä RL I-IV </t>
  </si>
  <si>
    <t>Painotettu summa</t>
  </si>
  <si>
    <t>Riskikerroin</t>
  </si>
  <si>
    <t>Terveydenhuollon, vanhustenhuollon ja sosiaalihuollon tarvekertoimet hyvinvointialueittain</t>
  </si>
  <si>
    <t>Laskennassa käytettävä TH:n palvelutarvekerroin</t>
  </si>
  <si>
    <t>Laskennassa käytettävä VH:n palvelutarvekerroin</t>
  </si>
  <si>
    <t>Laskennassa käytettävä SH:n palvelutarvekerroin</t>
  </si>
  <si>
    <t>Vantaa ja Kerava</t>
  </si>
  <si>
    <t>Terveydenhuollon tarvetekijät</t>
  </si>
  <si>
    <t>Painokerroin</t>
  </si>
  <si>
    <t>Vanhustenhuollon tarvetekijät</t>
  </si>
  <si>
    <t>Sosiaalihuollon tarvetekijät</t>
  </si>
  <si>
    <t>Tuberkuloosi</t>
  </si>
  <si>
    <t>Ruusut</t>
  </si>
  <si>
    <t>Krooniset hankinnaiset ja perinnölliset anemiat, hyytymyshäiriöt, neutropenia</t>
  </si>
  <si>
    <t>Diabetes</t>
  </si>
  <si>
    <t>Lihavuus</t>
  </si>
  <si>
    <t>Päihde- ja riippuvuushäiriöt (pl. Opioidiriippuvuus)</t>
  </si>
  <si>
    <t>Psykoosisairaudet ja kaksisuuntainen mielialahäiriö</t>
  </si>
  <si>
    <t>Masennus- ja ahdistuneisuushäiriöt</t>
  </si>
  <si>
    <t>HIV, C-hepatiitti</t>
  </si>
  <si>
    <t>Dissosiaatio- ja somatisaatiohäiriöt</t>
  </si>
  <si>
    <t>Sekavuustilat ja elimelliset aivo-oireyhtymät</t>
  </si>
  <si>
    <t>Opioidiriippuvuus</t>
  </si>
  <si>
    <t>Hengityshalvaus</t>
  </si>
  <si>
    <t>Parkinson ja muut rappeuttavat liikehäiriösairaudet</t>
  </si>
  <si>
    <t>Epilepsia</t>
  </si>
  <si>
    <t>Älyllinen kehitysvammaisuus</t>
  </si>
  <si>
    <t>CP-oireyhtymä</t>
  </si>
  <si>
    <t>Laaja-alaiset kehityshäiriöt (”autismispektri”)</t>
  </si>
  <si>
    <t>Neuroimmunologiset sairaudet</t>
  </si>
  <si>
    <t>Tarkkaavaisuus- ja käytöshäiriöt</t>
  </si>
  <si>
    <t>Keskushermoston ja ääreishermoston tulehdus/tulehdukselliset sairaudet</t>
  </si>
  <si>
    <t>Hydrokefalus</t>
  </si>
  <si>
    <t>Neuromuskulaarisairaudet</t>
  </si>
  <si>
    <t>Eteisvärinä</t>
  </si>
  <si>
    <t>Sydämen vajaatoiminta</t>
  </si>
  <si>
    <t>Aivoverenkiertohäiriöt</t>
  </si>
  <si>
    <t>Ateroskleroosi</t>
  </si>
  <si>
    <t>Keuhkoveritulppa</t>
  </si>
  <si>
    <t>Refluksi ja ulcus</t>
  </si>
  <si>
    <t>COPD</t>
  </si>
  <si>
    <t>B-hepatiitti</t>
  </si>
  <si>
    <t>Krooniset haavat</t>
  </si>
  <si>
    <t>Ei-tuberkuloottiset mykobakteerit</t>
  </si>
  <si>
    <t>Artroosisairaudet</t>
  </si>
  <si>
    <t>Veneeriset syylät</t>
  </si>
  <si>
    <t>Luukato</t>
  </si>
  <si>
    <t>Munuaissairaudet</t>
  </si>
  <si>
    <t>Virtsakivet ja virtsaushäiriöt</t>
  </si>
  <si>
    <t>Raajakipu</t>
  </si>
  <si>
    <t>Vammat ja myrkytykset</t>
  </si>
  <si>
    <t>Lonkkamurtuma</t>
  </si>
  <si>
    <t>WHO:n näkövammaluokitus, 1. aste</t>
  </si>
  <si>
    <t>WHO:n näkövammaluokitus, 2. aste</t>
  </si>
  <si>
    <t>WHO:n näkövammaluokitus, 3. aste</t>
  </si>
  <si>
    <t>WHO:n näkövammaluokitus, 4. aste</t>
  </si>
  <si>
    <t>WHO:n näkövammaluokitus, 5. aste</t>
  </si>
  <si>
    <t>Työkyvytön, 1. ikäkvantiili</t>
  </si>
  <si>
    <t>Asuntokunnan käyttötulo per kulutusyksiköt, luonnollinen logaritmi</t>
  </si>
  <si>
    <t>Työkyvytön, 2. ikäkvantiili</t>
  </si>
  <si>
    <t>Naimaton</t>
  </si>
  <si>
    <t>Työkyvytön, 3. ikäkvantiili</t>
  </si>
  <si>
    <t>Eronnut</t>
  </si>
  <si>
    <t>Työkyvytön, 4. ikäkvantiili</t>
  </si>
  <si>
    <t>Keskushermostokalvojen ja aivohermojen hyvänlaatuiset kasvaimet</t>
  </si>
  <si>
    <t>Leski</t>
  </si>
  <si>
    <t>Työkyvytön, 5. ikäkvantiili</t>
  </si>
  <si>
    <t>Kasvu- ja leviämistaipumukseltaan epäselvät tai tuntemattomat kasvaimet</t>
  </si>
  <si>
    <t>Taustamaa ei Suomi</t>
  </si>
  <si>
    <t>Työllinen</t>
  </si>
  <si>
    <t>Opiskelija</t>
  </si>
  <si>
    <t>Immuunipuutokset / immunol. Häiriöt</t>
  </si>
  <si>
    <t>Varusmies</t>
  </si>
  <si>
    <t>Amyloidoosit</t>
  </si>
  <si>
    <t>Kilpirauhasen vajaatoiminta</t>
  </si>
  <si>
    <t>Hypertyreoosi</t>
  </si>
  <si>
    <t>Struuma</t>
  </si>
  <si>
    <t>Hyperparatyreoosi</t>
  </si>
  <si>
    <t>Yhden aikuisen perhe</t>
  </si>
  <si>
    <t>Tupakoinnnin aiheuttamat haitat</t>
  </si>
  <si>
    <t>Laihuushäiriö</t>
  </si>
  <si>
    <t>Syömishäiriöt (pl. Laihuushäiriö)</t>
  </si>
  <si>
    <t>Unihäiriöt</t>
  </si>
  <si>
    <t>Persoonallisuushäiriöt</t>
  </si>
  <si>
    <t>Oppimiskyvyn vaikeudet yhdistettynä muihin kuin laaja-alaisiin kehityshäiriöihin</t>
  </si>
  <si>
    <t>Määrittämätön mielenterveyden häiriö</t>
  </si>
  <si>
    <t>Uniapnea</t>
  </si>
  <si>
    <t>Migreeni ja muut päänsärkysairaudet, muu krooninen kipu</t>
  </si>
  <si>
    <t>Allerginen silmätulehdus + allerginen nuha</t>
  </si>
  <si>
    <t>Silmien rappeumataudit</t>
  </si>
  <si>
    <t>Glaukooma</t>
  </si>
  <si>
    <t>Silmien sarveiskalvosairaudet</t>
  </si>
  <si>
    <t>Silmien verkkokalvoirtaumat ja verisuonitukokset</t>
  </si>
  <si>
    <t>Silmien taittovirheet</t>
  </si>
  <si>
    <t>Silmien lasiaissairaudet</t>
  </si>
  <si>
    <t>Korvakirurgia</t>
  </si>
  <si>
    <t>Huimaus/Korvan tasapainoelimen häiriöt</t>
  </si>
  <si>
    <t>Johtumistyyppinen ja sensorineuraalinen kuulonalenema</t>
  </si>
  <si>
    <t>Verenpainetauti</t>
  </si>
  <si>
    <t>Sepelvaltimotauti</t>
  </si>
  <si>
    <t>Sydämen läppäsairaudet</t>
  </si>
  <si>
    <t>Kardiomyopatiat</t>
  </si>
  <si>
    <t>Sydämen johtumishäiriöt</t>
  </si>
  <si>
    <t>Rinta-aortan aneurysmat</t>
  </si>
  <si>
    <t>Astma</t>
  </si>
  <si>
    <t>Keuhkokudoksen sairaudet</t>
  </si>
  <si>
    <t>Purentaelimen poikkeavuudet</t>
  </si>
  <si>
    <t>Suun protetiikka</t>
  </si>
  <si>
    <t>Divertikkelit ja ärtyvä suoli</t>
  </si>
  <si>
    <t>Sappirakon ja sappiteiden sairaudet</t>
  </si>
  <si>
    <t>Maksan tulehdussairaudet ja vajaatoiminta</t>
  </si>
  <si>
    <t>Crohnin tauti ja haavainen koliitti</t>
  </si>
  <si>
    <t>Keliakia</t>
  </si>
  <si>
    <t>Atooppinen ekseema</t>
  </si>
  <si>
    <t>Psoriaasi</t>
  </si>
  <si>
    <t>Allerginen kosketusihottuma</t>
  </si>
  <si>
    <t>Aktiininen keratoosi</t>
  </si>
  <si>
    <t>Muualla luokittelemattomat muut nivelsairaudet</t>
  </si>
  <si>
    <t>Selkärangan sairaudet</t>
  </si>
  <si>
    <t>Varpaiden hankinnaiset epämuotoisuudet</t>
  </si>
  <si>
    <t>Munuaisten vajaatoiminta</t>
  </si>
  <si>
    <t>Endometrioosi</t>
  </si>
  <si>
    <t>Kohdunkaulan dysplasia</t>
  </si>
  <si>
    <t>Kuukautisvuotohäiriöt</t>
  </si>
  <si>
    <t>Miehen sukupuolielinten sairaudet</t>
  </si>
  <si>
    <t>Asukasperusteisuus</t>
  </si>
  <si>
    <t>Terveydenhuollon palvelutarve</t>
  </si>
  <si>
    <t>Vanhustenhuollon palvelutarve</t>
  </si>
  <si>
    <t>Sosiaalihuollon palvelutarve</t>
  </si>
  <si>
    <t>Vieraskielisyys</t>
  </si>
  <si>
    <t>Kaksikielisyys</t>
  </si>
  <si>
    <t>Saaristoisuus</t>
  </si>
  <si>
    <t>Hyte-kriteeri</t>
  </si>
  <si>
    <t>Saamenkielisyys</t>
  </si>
  <si>
    <t>Määräytymistekijöiden perushinnat</t>
  </si>
  <si>
    <t>Sote-palvelutarve yhteensä</t>
  </si>
  <si>
    <t>Rahoituslain mukainen paino kriteerille</t>
  </si>
  <si>
    <t>Rahoitus kriteerille yhteensä:</t>
  </si>
  <si>
    <t>Kriteerin perushinta:</t>
  </si>
  <si>
    <t>Terveydenhuollon palvelutarvekerroin</t>
  </si>
  <si>
    <t>Vanhustenhuollon palvelutarvekerroin</t>
  </si>
  <si>
    <t>Sosiaalihuollon palvelutarvekerroin</t>
  </si>
  <si>
    <t>Saaristokuntien saaristossa asuvan väestön määrä</t>
  </si>
  <si>
    <t>Hyte-kerroin (arvio)</t>
  </si>
  <si>
    <t xml:space="preserve">Saamenkielisten määrä hyvinvointialueella, jolla sijaitsee saamelaisten kotiseutualueen kunnat </t>
  </si>
  <si>
    <t>Osuus sote-rahoituksesta</t>
  </si>
  <si>
    <t>Pelastustoimen laskennallinen rahoitus</t>
  </si>
  <si>
    <t>Kriteeri</t>
  </si>
  <si>
    <t>Riskitekijät</t>
  </si>
  <si>
    <t>Osuus pela-rahoituksesta</t>
  </si>
  <si>
    <t>SH</t>
  </si>
  <si>
    <t>VH</t>
  </si>
  <si>
    <t>TH</t>
  </si>
  <si>
    <t>Sote-valvontalaki (nettomuutos)</t>
  </si>
  <si>
    <t>Laki potilasasiavastaavista ja sosiaaliasiavastaavista (nettomuutos)</t>
  </si>
  <si>
    <t>kohdennus</t>
  </si>
  <si>
    <t>Yo-lisä</t>
  </si>
  <si>
    <t>Yo-sairaala-alueen asuakasluku</t>
  </si>
  <si>
    <t>Tarvetekijät sosiaali-, terveydenhuollon ja vanhustenhuollon tarvekertoimissa</t>
  </si>
  <si>
    <t>Alla on kuvattu tutkimuksessa käytetyt tarvetekijät. Alueelliset tarvekertoimet lasketaan erikseen terveydenhuollolle, vanhustenhuollolle ja sosiaalihuollolle</t>
  </si>
  <si>
    <t>Nainen</t>
  </si>
  <si>
    <t>Tarvekertoimet-välilehdellä on laskettu alueelliset tarvekertoimet, jotka on laskettu THL:n uusimman tutkimuksen mukaisena.</t>
  </si>
  <si>
    <t>Ikä 0v, nainen</t>
  </si>
  <si>
    <t>Ikä 65-70v, nainen</t>
  </si>
  <si>
    <t>Ikä 1-6v, nainen</t>
  </si>
  <si>
    <t>Ikä 71-75v, nainen</t>
  </si>
  <si>
    <t>Ikä 0v</t>
  </si>
  <si>
    <t>Ikä 7-12v, nainen</t>
  </si>
  <si>
    <t>Ikä 76-80v, nainen</t>
  </si>
  <si>
    <t>Ikä 1-6v</t>
  </si>
  <si>
    <t>Ikä 13-18v, nainen</t>
  </si>
  <si>
    <t>Ikä 81-85v, nainen</t>
  </si>
  <si>
    <t>Ikä 7-12v</t>
  </si>
  <si>
    <t>Ikä 19-25v, nainen</t>
  </si>
  <si>
    <t>Ikä 86-90v, nainen</t>
  </si>
  <si>
    <t>Ikä 13-18v</t>
  </si>
  <si>
    <t>Ikä 26-30v, nainen</t>
  </si>
  <si>
    <t>Ikä 91-95v, nainen</t>
  </si>
  <si>
    <t>Ikä 19-25v</t>
  </si>
  <si>
    <t>Ikä 31-35v, nainen</t>
  </si>
  <si>
    <t>Ikä vähintään 96v, nainen</t>
  </si>
  <si>
    <t>Ikä 26-30v</t>
  </si>
  <si>
    <t>Ikä 36-40v, nainen</t>
  </si>
  <si>
    <t>Ikä 65-70v, mies</t>
  </si>
  <si>
    <t>Ikä 31-35v</t>
  </si>
  <si>
    <t>Ikä 41-45v, nainen</t>
  </si>
  <si>
    <t>Ikä 71-75v, mies</t>
  </si>
  <si>
    <t>Ikä 36-40v</t>
  </si>
  <si>
    <t>Ikä 46-50v, nainen</t>
  </si>
  <si>
    <t>Ikä 76-80v, mies</t>
  </si>
  <si>
    <t>Ikä 41-45v</t>
  </si>
  <si>
    <t>Ikä 51-55v, nainen</t>
  </si>
  <si>
    <t>Ikä 81-85v, mies</t>
  </si>
  <si>
    <t>Ikä 46-50v</t>
  </si>
  <si>
    <t>Ikä 55-60v, nainen</t>
  </si>
  <si>
    <t>Ikä 86-90v, mies</t>
  </si>
  <si>
    <t>Ikä 51-55v</t>
  </si>
  <si>
    <t>Ikä 61-65v, nainen</t>
  </si>
  <si>
    <t>Ikä 91-95v, mies</t>
  </si>
  <si>
    <t>Ikä 56-60v</t>
  </si>
  <si>
    <t>Ikä 66-70v, nainen</t>
  </si>
  <si>
    <t>Ikä vähintään 96v, mies</t>
  </si>
  <si>
    <t>Ikä 61-65v</t>
  </si>
  <si>
    <t>Ikä 66-70v</t>
  </si>
  <si>
    <t>Ikä 71-75v</t>
  </si>
  <si>
    <t>Ikä 76-80v</t>
  </si>
  <si>
    <t>Ikä 81-85v</t>
  </si>
  <si>
    <t>Ikä 86-90v</t>
  </si>
  <si>
    <t>Ikä 91-95v</t>
  </si>
  <si>
    <t>Ikä 0v, mies</t>
  </si>
  <si>
    <t>Ikä vähintään 96v</t>
  </si>
  <si>
    <t>Ikä 1-6v, mies</t>
  </si>
  <si>
    <t>Ikä 7-12v, mies</t>
  </si>
  <si>
    <t>Ikä 13-18v, mies</t>
  </si>
  <si>
    <t>Ikä 19-25v, mies</t>
  </si>
  <si>
    <t>Muistisairaudet ja Alzheimerin tauti</t>
  </si>
  <si>
    <t>Ikä 26-30v, mies</t>
  </si>
  <si>
    <t>Ikä 31-35v, mies</t>
  </si>
  <si>
    <t>Ikä 36-40v, mies</t>
  </si>
  <si>
    <t>Ikä 41-45v, mies</t>
  </si>
  <si>
    <t>Ikä 46-50v, mies</t>
  </si>
  <si>
    <t>Ikä 51-55v, mies</t>
  </si>
  <si>
    <t>Ikä 55-60v, mies</t>
  </si>
  <si>
    <t>Ikä 61-65v, mies</t>
  </si>
  <si>
    <t>Ikä 66-70v, mies</t>
  </si>
  <si>
    <t xml:space="preserve">Keuhkokuume </t>
  </si>
  <si>
    <t>Hengityselinten krooninen toimintavajaus</t>
  </si>
  <si>
    <t>Hammaskaries ja hammasytimen ja hampaanjuuren kärkeä ympäröivien kudosten sairaudet</t>
  </si>
  <si>
    <t>Nivelreuma</t>
  </si>
  <si>
    <t>Kiinnityskudossairaudet</t>
  </si>
  <si>
    <t>Huulen, suun ja nielun pahanlaatuiset kasvaimet C00-C14</t>
  </si>
  <si>
    <t>Ruuansulatuselinten pahanlaatuiset kasvaimet C15-C26</t>
  </si>
  <si>
    <t>Hengityselinten ja rintaontelon elinten pahanlaatuiset kasvaimet C30-C39</t>
  </si>
  <si>
    <t>Luun ja nivelruston pahanlaatuiset kasvaimet C40-C41</t>
  </si>
  <si>
    <t>Hedelmättömyys</t>
  </si>
  <si>
    <t>Ihon melanooma ja muut pahanlaatuiset ihokasvaimet C43-C44</t>
  </si>
  <si>
    <t>Muut pehmytkudoksen pahanlaatuiset kasvaimet C45-C49</t>
  </si>
  <si>
    <t>Rintasyöpä C50</t>
  </si>
  <si>
    <t>Naisen sukupuolielinten pahanlaatuiset kasvaimet C51-C58</t>
  </si>
  <si>
    <t>Miehen sukupuolielinten pahanlaatuiset kasvaimet C60-C63</t>
  </si>
  <si>
    <t>Virtsaelinten pahanlaatuiset kasvaimet C64-C68</t>
  </si>
  <si>
    <t>WHO:n näkövammaluokitus, määrittelemätön (9. aste)</t>
  </si>
  <si>
    <t>Silmän, keskushermoston ja aivohermojen pahanlaatuiset kasvaimet C69-C72</t>
  </si>
  <si>
    <t>Toinen aste</t>
  </si>
  <si>
    <t>Kilpirauhasen ja muiden umpirauhasten pahanlaatuiset kasvaimet C73-C75</t>
  </si>
  <si>
    <t>Korkeakoulu</t>
  </si>
  <si>
    <t>Pahanlaatuiset kasvaimet, joiden sijaintipaikka on epäselvä, sekundaarinen tai määrittämätön C76-C80, C97</t>
  </si>
  <si>
    <t>Imukudoksen, verta muodostavien kudosten ja lähisukuisten kudosten pahanlaatuiset kasvaimet C81-C96</t>
  </si>
  <si>
    <t>Pintasyövät D04</t>
  </si>
  <si>
    <t>Transsukupuolisuus ja määrittämätön sukupuoli-identiteetin häiriö</t>
  </si>
  <si>
    <t>Näkövammaisuus (ne, joilla ei tietoa WHO-luokituksesta)</t>
  </si>
  <si>
    <t>Keuhkokuume</t>
  </si>
  <si>
    <t>Olkapään vaivat</t>
  </si>
  <si>
    <t>Polven sisäiset viat</t>
  </si>
  <si>
    <t>Raskauden ennenaikaisuus päivinä, 1. aste</t>
  </si>
  <si>
    <t>Raskauden ennenaikaisuus päivinä, 2. aste</t>
  </si>
  <si>
    <t>Synnytys</t>
  </si>
  <si>
    <t>Yksinasuja, alle 75v</t>
  </si>
  <si>
    <t>Yksinasuja, 75-84v</t>
  </si>
  <si>
    <t>Yksinasuja, 85-89v</t>
  </si>
  <si>
    <t>Yksinasuja, vähintään 90v</t>
  </si>
  <si>
    <t>Matka-aika minuutteina, 1. aste</t>
  </si>
  <si>
    <t>Matka-aika minuutteina, 2. aste</t>
  </si>
  <si>
    <t>Laskennallinen rahoitus yhteensä vuonna 2024</t>
  </si>
  <si>
    <t>Laskennallinen sote-rahoitus vuonna 2024</t>
  </si>
  <si>
    <t>Laskennallinen pela-rahoitus vuonna 2024</t>
  </si>
  <si>
    <t>koko laskennallinen sote-rahoitus</t>
  </si>
  <si>
    <t>Kokonaispinta-ala, km2</t>
  </si>
  <si>
    <t>RL I (2022)</t>
  </si>
  <si>
    <t>RL II (2022)</t>
  </si>
  <si>
    <t>RL III (2023)</t>
  </si>
  <si>
    <t>RLIV (2023)</t>
  </si>
  <si>
    <t>Yhteensä, euroa</t>
  </si>
  <si>
    <t xml:space="preserve"> </t>
  </si>
  <si>
    <t>Pelastustoimen laskennallinen rahoitus, euroa yhteensä</t>
  </si>
  <si>
    <t>Pelastustoimen laskennallinen rahoitus, euroa/asukas</t>
  </si>
  <si>
    <t>Sosiaali- ja terveyspalveluiden laskennallinen rahoitus</t>
  </si>
  <si>
    <t xml:space="preserve">Sosiaali- ja terveyspalveluiden laskennallinen rahoitus, euroa yhteensä </t>
  </si>
  <si>
    <t>Sosiaali- ja terveyspalveluiden laskennallinen rahoitus, euroa/asukas</t>
  </si>
  <si>
    <t>Hyvinvointialueindeksi</t>
  </si>
  <si>
    <t>Yleinen ansiotasoindeksi</t>
  </si>
  <si>
    <t>Paino</t>
  </si>
  <si>
    <t>Kuluttajahintaindeksi</t>
  </si>
  <si>
    <t>Työantajien sotumaksut</t>
  </si>
  <si>
    <t>Hyvinvointialueindeksin laskenta</t>
  </si>
  <si>
    <t>Indeksi</t>
  </si>
  <si>
    <t>Vuoden 2025 tasoon korotettu sote-rahoitus</t>
  </si>
  <si>
    <t>Lasten ja nuorten mielenterveyspalveluiden vahvistaminen</t>
  </si>
  <si>
    <t>Pidetään voimassa 1.9.2023 voimaan tuleva 14 vrk hoitotakuu</t>
  </si>
  <si>
    <t>Lastensuojelun jälkihuollon ikärajan laskeminen</t>
  </si>
  <si>
    <t>Mielenterveyslain muuttaminen (tahdosta riippumattomassa psykiatrisessa hoidossa)</t>
  </si>
  <si>
    <t>Rahoitus yhteensä vuonna 2025</t>
  </si>
  <si>
    <t>Kriteerin osuus vuoden 2024 laskennallisesta sote-rahoituksesta</t>
  </si>
  <si>
    <t xml:space="preserve">Kriteerille kohdistunut vuoden 2025 laskennallinen sote-rahoitus yhteensä </t>
  </si>
  <si>
    <t xml:space="preserve">Kriteerin osuus vuoden 2025 sote-laskennallisesta rahoituksesta </t>
  </si>
  <si>
    <t>TH:n tarvekerroin 2022</t>
  </si>
  <si>
    <t>VH:n tarvekerroin 2022</t>
  </si>
  <si>
    <t>SH:n tarvekerroin 2022</t>
  </si>
  <si>
    <t>Yhteenveto hyvinvointialueiden rahoituksesta vuodelle 2025</t>
  </si>
  <si>
    <t>Yhteenveto hyvinvointialueiden vuoden 2025 rahoituksesta</t>
  </si>
  <si>
    <t>Siirtymätasaus vuonna 2025, euroa</t>
  </si>
  <si>
    <t>Vuoden 2025 rahoitus yhteensä, euroa</t>
  </si>
  <si>
    <t>Vuoden 2025 rahoitus yhteensä, euroa/asukas</t>
  </si>
  <si>
    <t>Rahoituksen kasvu vuodelle 2025, euroa</t>
  </si>
  <si>
    <t>Jälkikäteistarkistus, sote</t>
  </si>
  <si>
    <t>Jälkikäteistarkistus, pela</t>
  </si>
  <si>
    <t>Iäkkäiden ympärivuorokautisen hoivan henkilöstömitoituksen keventäminen (Lisätoimet 2024)</t>
  </si>
  <si>
    <t>Ajokorttitarkastusten rajaaminen julkisen palveluvalikoiman ulkopuolelle (Lisätoimet 2024)</t>
  </si>
  <si>
    <t>Rahoituksen taso vuonna 2025</t>
  </si>
  <si>
    <t xml:space="preserve">Vuoden 2025 rahoitus </t>
  </si>
  <si>
    <t>Laskennallinen sote-rahoitus vuonna 2025</t>
  </si>
  <si>
    <t>Laskennallinen pela-rahoitus vuonna 2025</t>
  </si>
  <si>
    <t>Laskennallinen rahoitus yhteensä vuonna 2025</t>
  </si>
  <si>
    <t>Alueelle myönnetty rahoitus yht. 2023, euroa</t>
  </si>
  <si>
    <t>Sote-rahoituksen ja sote-nettokustannusten erotus, euroa</t>
  </si>
  <si>
    <t>Pela-rahoituksen ja pela-nettokustannusten erotus, euroa</t>
  </si>
  <si>
    <t>Jälkikäteistarkistuksen määrä vuoden 2025 rahoituksessa yht.</t>
  </si>
  <si>
    <t>Hyvinvointialueindeksi vuonna 2024</t>
  </si>
  <si>
    <t>Hyvinvointialueindeksi vuonna 2025</t>
  </si>
  <si>
    <t>Jälkikäteistarkistus, yhteensä</t>
  </si>
  <si>
    <t>Jälkikäteistarkistuksen määrä vuonna 2025, sote</t>
  </si>
  <si>
    <t>Jälkikäteistarkistuksen määrä vuonna 2025, pela</t>
  </si>
  <si>
    <t>Rahoituksen ja nettokustannusten välinen erotus yht. vuonna 2023</t>
  </si>
  <si>
    <t>Tällä välilehdellä on kuvattu hyvinvointialueiden vuoden 2025 rahoituksen muodostuminen koko maan tasolla.</t>
  </si>
  <si>
    <t>Siirtymätasaukset vuonna 2025</t>
  </si>
  <si>
    <t>Yhteensä, e/as.</t>
  </si>
  <si>
    <t>Rahoitus vuonna 2025</t>
  </si>
  <si>
    <t>Määräytymistekijät ja kertoimet</t>
  </si>
  <si>
    <t>TH:n tarvekerroin painotettu asukasluvulla</t>
  </si>
  <si>
    <t>VH:n tarvekerroin painotettu  asukasluvulla</t>
  </si>
  <si>
    <t>SH:n tarvekerroin painotettu asukasluvulla</t>
  </si>
  <si>
    <t>Laskennallinen rahoitus vuonna 2025, euroa</t>
  </si>
  <si>
    <t>Lähde: Tilastokeskus, vuoden 2023 väestörakennetilasto 26.4.2024</t>
  </si>
  <si>
    <t>Palvelutarve (sis. 0,2%-yksikön korotus ja 80% rajaus) vuonna 2025</t>
  </si>
  <si>
    <t>Palvelutarve (sis. 0,2%-yksikön korotus) vuonna 2024</t>
  </si>
  <si>
    <t>Lastensuojelun sosiaalityöntekijöiden kelpoisuusvaatimusten joustavoittaminen henkilöstön saatavuuden helpottamiseksi ja lastensuojelun riittävyyden turvaamiseksi (Lisätoimet 2024)</t>
  </si>
  <si>
    <t>Vuoden 2025 rahoituksessa huomioitavat tehtävämuutokset yhteensä</t>
  </si>
  <si>
    <t>Sote-rahoituksen ja sote-nettokustannusten välinen erotus koko maan tasolla vuonna 2023</t>
  </si>
  <si>
    <t>Pela-rahoituksen ja pela-nettokustannusten välinen erotus koko maan tasolla vuonna 2023</t>
  </si>
  <si>
    <t>Hyvinvointialueiden rahoituksen ja nettokustannusten välinen erotus vuonna 2023</t>
  </si>
  <si>
    <t>Tehtävämuutokset vuonna 2025</t>
  </si>
  <si>
    <t>Laskennallinen sote-rahoitus yhteensä vuonna 2025</t>
  </si>
  <si>
    <t>Rahoitus euroa/asukas</t>
  </si>
  <si>
    <t>Sote-tehtävämuutokset, yhteensä</t>
  </si>
  <si>
    <t>Pela-tehtävämuutokset, yhteensä</t>
  </si>
  <si>
    <t>Laskennallisen sote-rahoituksen määräytymistekijät hyvinvointialueittain, 2023</t>
  </si>
  <si>
    <t>Laskennallisen pelastustoimen rahoituksen määräytymistekijät hyvinvointialueittain, 2023</t>
  </si>
  <si>
    <t>02955 30560 / etunimi.sukunimi@gov.fi</t>
  </si>
  <si>
    <t>Valtiovarainministeriö, Kunta- ja alueosasto</t>
  </si>
  <si>
    <t>Roosa Valkama, finanssiasiantuntija</t>
  </si>
  <si>
    <t>Lisätietoja:</t>
  </si>
  <si>
    <t>Hyvinvointialueiden rahoituslaskelma vuodelle 2025</t>
  </si>
  <si>
    <t>VM/KAO 23.9.2024</t>
  </si>
  <si>
    <t>Vuoden 2025 rahoituksen jälkikäteistarkistuksesta</t>
  </si>
  <si>
    <t xml:space="preserve">Jälkikäteistarkistuksen kautta tehtävä rahoituksen tason tarkistus jakautuu kaikille hyvinvointialueille rahoituslain määräytymistekijöiden mukaisesti. </t>
  </si>
  <si>
    <t>Alueen TP-tietojen mukainen sote-nettokustannus, 2023</t>
  </si>
  <si>
    <t>Alueen TP-tietojen mukainen pela-nettokustannus, 2023</t>
  </si>
  <si>
    <t>TP-tietojen mukaiset nettokustannukset yht., 2023</t>
  </si>
  <si>
    <t>Sote-tehtävien rahoituksen pohjana on vuoden 2024 rahoitus, joka korotetaan vuoden 2025 tasolle palvelutarpeen, hintojen muutoksen ja tehtävämuutosten perusteella. Laskennalliseen sote-rahoitukseen on lisätty soten osuus vuoden 2025 jälkikäteistarkistuksesta, n. 1,36 mrd. euroa. Sote-tehtävien laskennallisen rahoituksen määräytymistekijät ovat asukasperusteisuus, sote-palvelutarvekerroin (joka muodostuu terveydenhuollon, vanhustenhuollon ja sosiaalihuollon palvelutarvekertoimista), vieraskielisyys, kaksikielisyys, asukastiheys, saaristoisuus, saamenkielisyys, hyte-kerroin ja yliopistosairaalalisä.</t>
  </si>
  <si>
    <r>
      <t xml:space="preserve">Alla on kuvattu hyvinvointialueiden vuoden 2025 rahoitus, joka muodostuu laskennallisesta rahoituksesta ja siirtymätasauksesta. Laskennalliseen rahoitukseen on lisätty rahoituksen jälkikäteistarkistus. </t>
    </r>
    <r>
      <rPr>
        <sz val="11"/>
        <rFont val="Arial"/>
        <family val="2"/>
        <scheme val="major"/>
      </rPr>
      <t xml:space="preserve">Siirtymätasauksen laskenta kuvataan erillisessä laskelmassa (kts. Hyvinvointialueiden rahoituksen siirtymäkausi 2024-2029, </t>
    </r>
    <r>
      <rPr>
        <b/>
        <sz val="11"/>
        <rFont val="Arial"/>
        <family val="2"/>
        <scheme val="major"/>
      </rPr>
      <t>27.6.2024</t>
    </r>
    <r>
      <rPr>
        <sz val="11"/>
        <rFont val="Arial"/>
        <family val="2"/>
        <scheme val="major"/>
      </rPr>
      <t>). Hyvinvointialueen laskennallinen yleiskatteinen rahoitus esitetään euromääräisinä summina ja euroa per asukas.</t>
    </r>
  </si>
  <si>
    <t>Lähde: Sisäministeriö 6.9.2023</t>
  </si>
  <si>
    <t>Saaristokuntien saaristossa asuvien määrä päivitetty 16.5.2024.</t>
  </si>
  <si>
    <t>Vuoden 2025 rahoituksen jälkikäteistarkistus</t>
  </si>
  <si>
    <t xml:space="preserve">Yhteenveto-välilehdellä on kuvattu hyvinvointialueiden vuoden 2025 rahoitus. Vuoden 2025 aluekohtaisten siirtymätasausten laskenta on kuvattu kesäkuussa 2024 julkaistussa erillisessä työkirjassa (kts. Hyvinvointialueiden rahoituksen siirtymäkausi 2024-2029, 27.6.2024). </t>
  </si>
  <si>
    <t xml:space="preserve">Alueelle myönnetty sote-rahoitus (laskennallinen +/- siirtymätasaus) yht. 2023, euroa </t>
  </si>
  <si>
    <t>Alueelle myönnetty pela-rahoitus (laskennallinen +/- siirtymätasaus) yht. 2023, euroa</t>
  </si>
  <si>
    <t>Hyte-kriteeri sisällytetään rahoitukseen euroa per asukas -periaatteella vuosina 2023-2025. Hyte-kerroin sisällytetään hyvinvointialueiden laskennalliseen rahoitukseen vuodesta 2026 alkaen.</t>
  </si>
  <si>
    <t>Sarakkeissa J, K ja L on THL:n tuottamat aluekohtaiset tarvekertoimet, jotka on huomioitu SOTE laskennallinen rahoitus-välilehdellä.</t>
  </si>
  <si>
    <t>Valtion vuoden 2025 talousarvioesityksen mukaiset toimenpiteet vuodelle 2025</t>
  </si>
  <si>
    <t>Vuoden 2025 rahoitukseen on lisätty ensimmäinen rahoituksen jälkikäteistarkistus. Vuoden 2025 rahoituksessa huomioitava jälkikäteistarkistus määräytyy hyvinvointialueiden yhteenlasketun vuoden 2023 toteutuneiden kustannusten ja myönnetyn rahoituksen välisen erotuksen perusteella, joka korotetaan vuoden 2025 tasolle. Vuoden 2025 jälkikäteistarkistus on määritelty hyvinvointialueiden Valtiokonttorille raportoimien vuoden 2023 tilinpäätöstietojen mukaisten toteutuneiden kustannusten perusteella.</t>
  </si>
  <si>
    <t>Tässä työkirjassa kuvataan hyvinvointialueiden vuoden 2025 valtion rahoitus koko maan tasolla sekä rahoituksen hyvinvointialuekohtainen jakauma. Tämä laskelma korvaa 29.4.2024 julkaistun vuoden 2025 ennakollisen rahoituslaskelman.</t>
  </si>
  <si>
    <t>Tässä laskelmassa vuoden 2025 rahoituksen taso on tarkistettu valtiovarainministeriön kansantalousosaston syksyn 2024 ennusteen mukaisella hva-indeksillä vuodelle 2025. Rahoituksessa on myös huomioitu valtion talousarvioesityksen mukaiset toimenpiteet vuodelle 2025. Laskelmassa esitetty vuoden 2025 rahoituksen taso perustuu kesäkuussa 2024 siirtyvien kustannusten tarkentumisen johdosta päivitettyyn vuoden 2024 rahoitukseen.</t>
  </si>
  <si>
    <r>
      <t xml:space="preserve">SOTE laskennallinen rahoitus ja PELA laskennallinen rahoitus -välilehdillä lasketaan hyvinvointialueiden laskennallinen rahoitus rahoituslain mukaisten kriteerien ja niiden päivittyneiden osuuksien mukaisesti. Laskennallisen rahoituksen määräytymistekijät on päivitetty Tilastokeskuksen 26.4.2024 julkaiseman vuoden 2023 väestörakennetilaston perusteella. </t>
    </r>
    <r>
      <rPr>
        <b/>
        <sz val="11"/>
        <color theme="1"/>
        <rFont val="Arial"/>
        <family val="2"/>
        <scheme val="major"/>
      </rPr>
      <t>Soten laskennallisen rahoituksen osalta vuoden 2022 terveydenhuollon, vanhustenhuollon ja sosiaalihuollon tarvekertoimet perustuvat THL:n elokuussa 2024 päivittämiin laskelmiin.</t>
    </r>
    <r>
      <rPr>
        <sz val="11"/>
        <color theme="1"/>
        <rFont val="Arial"/>
        <family val="2"/>
        <scheme val="major"/>
      </rPr>
      <t xml:space="preserve"> </t>
    </r>
    <r>
      <rPr>
        <b/>
        <sz val="11"/>
        <color theme="1"/>
        <rFont val="Arial"/>
        <family val="2"/>
        <scheme val="major"/>
      </rPr>
      <t xml:space="preserve">Tarvekertoimet poikkeavat kevään vuoden 2025 ennakollisissa rahoituslaskelmissa käytetyistä ennakkotarvekertoimista. Tämä johtuu siitä, että ennakkotarvekertoimissa käytetyn aineiston poiminnan jälkeen hyvinvointialueilta on tullut runsaasti diagnoosien tietotoimituksia, jotka ovat vaikuttaneet lopullisiin tarvekertoimiin. Muutokset heijastuvat aluekohtaiseen rahoitukseen. </t>
    </r>
    <r>
      <rPr>
        <sz val="11"/>
        <color theme="1"/>
        <rFont val="Arial"/>
        <family val="2"/>
        <scheme val="major"/>
      </rPr>
      <t xml:space="preserve">Pelastustoimen laskennallisen rahoituksen osalta pelastustoimen riskitekijät on päivitetty sisäministeriön toimesta syyskuussa 2024. </t>
    </r>
  </si>
  <si>
    <t>Vuoden 2025 laskennallisen rahoituksen pohjana on 27.6.2024 päivitetty vuoden 2024 laskennallisen rahoituksen taso, joka on yhteensä n. 24,2 mrd. euroa. Rahoitus on korotettu rahoituslain mukaisen palvelutarpeen kasvuarvion (n. 241 milj. eroa) ja hyvinvointialueiden hintaindeksin syksyn 2024 ennusteen (3,00%) mukaisen kustannustason muutoksen (n. 733 milj. euroa) perusteella vuoden 2025 tasolle. Vuoden 2025 rahoituksessa on otettu huomioon valtion vuoden 2025 talousarvioesityksen mukaiset toimenpiteet vuodelle 2025. Vuoden 2025 rahoitukseen on lisätty hyvinvointialueiden vuoden 2023 tilinpäätöstietojen perusteella laskettu vuoden 2025 jälkikäteistarkistus (n. 1,41 mrd. euroa). Koko maan tasolla muodostettu rahoitus jaetaan alueille rahoitusmallin määräytymistekijöiden perusteella.</t>
  </si>
  <si>
    <r>
      <t>Rahoituksen taso tarkistetaan rahoituslain 10 §:n perusteella vastaamaan koko maan tasolla toteutuneita kustannuksia jälkikäteen kahden vuoden viiveellä. Jälkikäteistarkistus huomioidaan hyvinvointialueiden rahoituksessa ensimmäisen kerran vuonna 2025. Vuoden 2025 rahoituksessa huomioitava jälkikäteistarkistus määräytyy</t>
    </r>
    <r>
      <rPr>
        <b/>
        <sz val="11"/>
        <color rgb="FF000000"/>
        <rFont val="Arial"/>
        <family val="2"/>
        <scheme val="major"/>
      </rPr>
      <t xml:space="preserve"> hyvinvointialueiden yhteenlasketun</t>
    </r>
    <r>
      <rPr>
        <sz val="11"/>
        <color rgb="FF000000"/>
        <rFont val="Arial"/>
        <family val="2"/>
        <scheme val="major"/>
      </rPr>
      <t xml:space="preserve"> vuoden 2023 toteutuneiden kustannusten ja myönnetyn rahoituksen välisen erotuksen perusteella, joka korotetaan palvelutarpeella ja hintaindeksillä vuoden 2025 tasolle. Vuoden 2023 rahoitus sisältää rahoituksen kertakorvauksen.</t>
    </r>
  </si>
  <si>
    <r>
      <t xml:space="preserve">Tällä välilehdellä kuvattu vuoden 2025 jälkikäteistarkistus perustuu alueiden raportoimiin </t>
    </r>
    <r>
      <rPr>
        <b/>
        <sz val="11"/>
        <rFont val="Arial"/>
        <family val="2"/>
        <scheme val="minor"/>
      </rPr>
      <t>vuoden 2023 tilinpäätöstietoihin.</t>
    </r>
    <r>
      <rPr>
        <sz val="11"/>
        <rFont val="Arial"/>
        <family val="2"/>
        <scheme val="minor"/>
      </rPr>
      <t xml:space="preserve"> Jälkikäteistarkistus on laskettu vuodelle 2023 myönnetyn rahoituksen ja tilinpäätöstietojen mukaisten toteutuneiden nettokustannusten erotuksena. Jälkikäteistarkistus lasketaan erikseen soten ja pelan osalta. Erotukset korotetaan soten osalta palvelutarpeella ja hva-indeksillä ja pelan osalta hva-indeksillä vuoden 2025 tasolle. Vuoden 2024 hyvinvointialueindeksin osalta on käytetty valtiovarainministeriön kansantalousosaston viimeisintä syksyn 2024 ennustetta.</t>
    </r>
  </si>
  <si>
    <t>Vuoden 2025 rahoituksessa huomioidaan vuoden 2022 terveydenhuollon, sosiaalihuollon ja vanhustenhuollon tarvekertoimet. THL on laskenut lopulliset vuoden 2025 rahoituksessa huomioitavat tarvekertoimet elokuussa 2024. Tarvekertoimet on julkaistu THL:n sivuilla (https://thl.fi/aiheet/sote-palvelujen-johtaminen/rahoitus-ja-kustannukset/hyvinvointialueiden-sote-palvelujen-tarveperustainen-rahoitus). Kertoimet on laskettu rahoituslain mukaisten tarvetekijöiden ja niiden painojen perusteella (kts. Tarvetekijät-välilehti).</t>
  </si>
  <si>
    <t>Pelastustoimen tehtävien rahoituksen pohjana on vuoden 2024 rahoituksen taso, joka korotetaan vuoden 2025 tasolle hintojen muutoksen perusteella. Pelastustoimen laskennalliseen rahoitukseen on lisätty pelastustoimen osuus vuoden 2025 jälkikäteistarkistuksesta, n. 54 milj. euroa. Pelastustoimen laskennallisen rahoituksen määräytymistekijät ovat asukasperusteisuus, asukastiheys ja pelastustoimen riskitekijät. Pelastustoimen riskitekijät on päivitetty sisäministeriön toimesta syyskuussa 2024.</t>
  </si>
  <si>
    <t>Hoitotakuun pidennys 3 kuukauteen perusterveydenhuollossa (Lisätoimet 2024)</t>
  </si>
  <si>
    <t>Asiakasmaksujen korotukset</t>
  </si>
  <si>
    <t>Vammaispalvelulain uudistus</t>
  </si>
  <si>
    <t>Vuoden 2024 rahoitus yhteensä, euroa (27.6.2024)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</si>
</sst>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_-;\-* #,##0.00_-;_-* &quot;-&quot;??_-;_-@_-"/>
    <numFmt numFmtId="164" formatCode="_-* #,##0.00\ _€_-;\-* #,##0.00\ _€_-;_-* &quot;-&quot;??\ _€_-;_-@_-"/>
    <numFmt numFmtId="165" formatCode="#,##0_ ;[Red]\-#,##0\ "/>
    <numFmt numFmtId="166" formatCode="0.000"/>
    <numFmt numFmtId="167" formatCode="0.0"/>
    <numFmt numFmtId="168" formatCode="0.0000"/>
    <numFmt numFmtId="169" formatCode="0.000\ %"/>
    <numFmt numFmtId="170" formatCode="0.0\ %"/>
    <numFmt numFmtId="171" formatCode="#,##0.000"/>
    <numFmt numFmtId="172" formatCode="#,##0.000000"/>
    <numFmt numFmtId="173" formatCode="_-* #,##0_-;\-* #,##0_-;_-* &quot;-&quot;??_-;_-@_-"/>
    <numFmt numFmtId="174" formatCode="_-* #,##0.0000_-;\-* #,##0.0000_-;_-* &quot;-&quot;??_-;_-@_-"/>
    <numFmt numFmtId="175" formatCode="0.00000"/>
    <numFmt numFmtId="176" formatCode="0E+00"/>
    <numFmt numFmtId="177" formatCode="_-* #,##0.000_-;\-* #,##0.000_-;_-* &quot;-&quot;??_-;_-@_-"/>
  </numFmts>
  <fonts count="58" x14ac:knownFonts="1">
    <font>
      <sz val="11"/>
      <color theme="1"/>
      <name val="Arial"/>
      <family val="2"/>
      <scheme val="minor"/>
    </font>
    <font>
      <sz val="11"/>
      <color theme="1"/>
      <name val="Arial"/>
      <family val="2"/>
      <scheme val="minor"/>
    </font>
    <font>
      <sz val="18"/>
      <color theme="3"/>
      <name val="Arial"/>
      <family val="2"/>
      <scheme val="major"/>
    </font>
    <font>
      <b/>
      <sz val="11"/>
      <color theme="3"/>
      <name val="Arial"/>
      <family val="2"/>
      <scheme val="minor"/>
    </font>
    <font>
      <b/>
      <sz val="11"/>
      <color theme="0"/>
      <name val="Arial"/>
      <family val="2"/>
      <scheme val="minor"/>
    </font>
    <font>
      <sz val="10"/>
      <name val="Arial"/>
      <family val="2"/>
    </font>
    <font>
      <sz val="11"/>
      <color theme="1"/>
      <name val="Arial"/>
      <family val="2"/>
      <scheme val="major"/>
    </font>
    <font>
      <sz val="11"/>
      <name val="Arial"/>
      <family val="2"/>
      <scheme val="major"/>
    </font>
    <font>
      <b/>
      <sz val="11"/>
      <name val="Arial"/>
      <family val="2"/>
      <scheme val="major"/>
    </font>
    <font>
      <b/>
      <sz val="11"/>
      <color theme="1"/>
      <name val="Arial"/>
      <family val="2"/>
      <scheme val="major"/>
    </font>
    <font>
      <b/>
      <sz val="11"/>
      <color theme="0"/>
      <name val="Arial"/>
      <family val="2"/>
      <scheme val="major"/>
    </font>
    <font>
      <u/>
      <sz val="11"/>
      <color theme="1"/>
      <name val="Arial"/>
      <family val="2"/>
      <scheme val="major"/>
    </font>
    <font>
      <sz val="11"/>
      <name val="Arial"/>
      <family val="2"/>
    </font>
    <font>
      <sz val="11"/>
      <color rgb="FFFF0000"/>
      <name val="Arial"/>
      <family val="2"/>
    </font>
    <font>
      <b/>
      <sz val="11"/>
      <color rgb="FFFF0000"/>
      <name val="Arial"/>
      <family val="2"/>
      <scheme val="major"/>
    </font>
    <font>
      <sz val="11"/>
      <color rgb="FFFF0000"/>
      <name val="Arial"/>
      <family val="2"/>
      <scheme val="major"/>
    </font>
    <font>
      <b/>
      <sz val="11"/>
      <color theme="3"/>
      <name val="Arial"/>
      <family val="2"/>
      <scheme val="major"/>
    </font>
    <font>
      <sz val="12"/>
      <name val="Arial"/>
      <family val="2"/>
      <scheme val="major"/>
    </font>
    <font>
      <b/>
      <sz val="12"/>
      <name val="Arial"/>
      <family val="2"/>
      <scheme val="major"/>
    </font>
    <font>
      <sz val="11"/>
      <color rgb="FF000000"/>
      <name val="Calibri"/>
      <family val="2"/>
    </font>
    <font>
      <b/>
      <sz val="12"/>
      <color theme="1"/>
      <name val="Arial"/>
      <family val="2"/>
      <scheme val="major"/>
    </font>
    <font>
      <b/>
      <sz val="12"/>
      <color theme="0"/>
      <name val="Arial"/>
      <family val="2"/>
      <scheme val="major"/>
    </font>
    <font>
      <sz val="12"/>
      <color theme="0"/>
      <name val="Arial"/>
      <family val="2"/>
      <scheme val="major"/>
    </font>
    <font>
      <sz val="12"/>
      <color rgb="FFFF0000"/>
      <name val="Arial"/>
      <family val="2"/>
      <scheme val="major"/>
    </font>
    <font>
      <sz val="12"/>
      <color theme="1"/>
      <name val="Arial"/>
      <family val="2"/>
      <scheme val="major"/>
    </font>
    <font>
      <sz val="12"/>
      <color theme="1"/>
      <name val="Arial"/>
      <family val="2"/>
      <scheme val="minor"/>
    </font>
    <font>
      <i/>
      <sz val="12"/>
      <name val="Arial"/>
      <family val="2"/>
      <scheme val="major"/>
    </font>
    <font>
      <sz val="12"/>
      <color theme="0" tint="-0.249977111117893"/>
      <name val="Arial"/>
      <family val="2"/>
      <scheme val="major"/>
    </font>
    <font>
      <b/>
      <sz val="12"/>
      <color theme="0" tint="-0.249977111117893"/>
      <name val="Arial"/>
      <family val="2"/>
      <scheme val="major"/>
    </font>
    <font>
      <b/>
      <strike/>
      <sz val="11"/>
      <color theme="1"/>
      <name val="Arial"/>
      <family val="2"/>
      <scheme val="major"/>
    </font>
    <font>
      <sz val="10"/>
      <color theme="1"/>
      <name val="Arial Narrow"/>
      <family val="2"/>
    </font>
    <font>
      <b/>
      <sz val="11"/>
      <color theme="1"/>
      <name val="Arial"/>
      <family val="2"/>
      <scheme val="minor"/>
    </font>
    <font>
      <b/>
      <sz val="12"/>
      <color theme="1"/>
      <name val="Arial"/>
      <family val="2"/>
      <scheme val="minor"/>
    </font>
    <font>
      <b/>
      <sz val="11"/>
      <color rgb="FFFF0000"/>
      <name val="Arial"/>
      <family val="2"/>
      <scheme val="minor"/>
    </font>
    <font>
      <sz val="12"/>
      <name val="Arial"/>
      <family val="2"/>
      <scheme val="major"/>
    </font>
    <font>
      <b/>
      <sz val="12"/>
      <color theme="0"/>
      <name val="Arial"/>
      <family val="2"/>
      <scheme val="major"/>
    </font>
    <font>
      <b/>
      <i/>
      <sz val="12"/>
      <name val="Arial"/>
      <family val="2"/>
      <scheme val="major"/>
    </font>
    <font>
      <i/>
      <sz val="12"/>
      <color theme="1"/>
      <name val="Arial"/>
      <family val="2"/>
      <scheme val="minor"/>
    </font>
    <font>
      <sz val="11"/>
      <color theme="1"/>
      <name val="Arial Narrow"/>
      <family val="2"/>
    </font>
    <font>
      <sz val="11"/>
      <name val="Arial"/>
      <family val="2"/>
      <scheme val="major"/>
    </font>
    <font>
      <sz val="11"/>
      <name val="Arial"/>
      <family val="2"/>
      <scheme val="minor"/>
    </font>
    <font>
      <sz val="11"/>
      <color rgb="FFFF0000"/>
      <name val="Arial"/>
      <family val="2"/>
      <scheme val="minor"/>
    </font>
    <font>
      <sz val="11"/>
      <color theme="1"/>
      <name val="Arial"/>
      <family val="2"/>
      <scheme val="major"/>
    </font>
    <font>
      <b/>
      <sz val="13"/>
      <color theme="3"/>
      <name val="Arial"/>
      <family val="2"/>
      <scheme val="minor"/>
    </font>
    <font>
      <b/>
      <sz val="16"/>
      <color theme="3"/>
      <name val="Arial"/>
      <family val="2"/>
      <scheme val="major"/>
    </font>
    <font>
      <b/>
      <sz val="14"/>
      <color theme="3"/>
      <name val="Arial"/>
      <family val="2"/>
      <scheme val="major"/>
    </font>
    <font>
      <sz val="12"/>
      <name val="Arial"/>
      <family val="2"/>
      <scheme val="minor"/>
    </font>
    <font>
      <i/>
      <sz val="11"/>
      <color rgb="FFFF0000"/>
      <name val="Arial"/>
      <family val="2"/>
      <scheme val="minor"/>
    </font>
    <font>
      <sz val="11"/>
      <color theme="1"/>
      <name val="Arial"/>
      <family val="2"/>
      <scheme val="major"/>
    </font>
    <font>
      <sz val="12"/>
      <name val="Arial"/>
      <family val="2"/>
      <scheme val="major"/>
    </font>
    <font>
      <sz val="11"/>
      <color theme="1"/>
      <name val="Arial"/>
      <family val="2"/>
      <scheme val="major"/>
    </font>
    <font>
      <sz val="12"/>
      <name val="Arial"/>
      <family val="2"/>
      <scheme val="major"/>
    </font>
    <font>
      <i/>
      <sz val="11"/>
      <name val="Arial"/>
      <family val="2"/>
      <scheme val="major"/>
    </font>
    <font>
      <sz val="11"/>
      <color rgb="FF000000"/>
      <name val="Arial"/>
      <family val="2"/>
      <scheme val="major"/>
    </font>
    <font>
      <sz val="11"/>
      <color theme="6"/>
      <name val="Arial"/>
      <family val="2"/>
      <scheme val="minor"/>
    </font>
    <font>
      <b/>
      <sz val="11"/>
      <color rgb="FF000000"/>
      <name val="Arial"/>
      <family val="2"/>
      <scheme val="major"/>
    </font>
    <font>
      <sz val="14"/>
      <color rgb="FF000000"/>
      <name val="Times New Roman"/>
      <family val="1"/>
    </font>
    <font>
      <b/>
      <sz val="11"/>
      <name val="Arial"/>
      <family val="2"/>
      <scheme val="minor"/>
    </font>
  </fonts>
  <fills count="11">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4"/>
        <bgColor theme="4"/>
      </patternFill>
    </fill>
    <fill>
      <patternFill patternType="solid">
        <fgColor theme="8"/>
        <bgColor indexed="64"/>
      </patternFill>
    </fill>
    <fill>
      <patternFill patternType="solid">
        <fgColor theme="8"/>
        <bgColor theme="8"/>
      </patternFill>
    </fill>
    <fill>
      <patternFill patternType="solid">
        <fgColor theme="4"/>
        <bgColor indexed="64"/>
      </patternFill>
    </fill>
    <fill>
      <patternFill patternType="solid">
        <fgColor theme="9" tint="0.79998168889431442"/>
        <bgColor indexed="64"/>
      </patternFill>
    </fill>
    <fill>
      <patternFill patternType="solid">
        <fgColor theme="9"/>
        <bgColor indexed="64"/>
      </patternFill>
    </fill>
    <fill>
      <patternFill patternType="solid">
        <fgColor theme="4" tint="0.79998168889431442"/>
        <bgColor indexed="64"/>
      </patternFill>
    </fill>
  </fills>
  <borders count="58">
    <border>
      <left/>
      <right/>
      <top/>
      <bottom/>
      <diagonal/>
    </border>
    <border>
      <left/>
      <right/>
      <top/>
      <bottom style="medium">
        <color theme="4" tint="0.39997558519241921"/>
      </bottom>
      <diagonal/>
    </border>
    <border>
      <left/>
      <right/>
      <top style="thin">
        <color theme="4"/>
      </top>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top/>
      <bottom style="thin">
        <color indexed="64"/>
      </bottom>
      <diagonal/>
    </border>
    <border>
      <left/>
      <right/>
      <top style="thin">
        <color auto="1"/>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thin">
        <color theme="8"/>
      </left>
      <right/>
      <top style="thin">
        <color theme="8"/>
      </top>
      <bottom/>
      <diagonal/>
    </border>
    <border>
      <left/>
      <right/>
      <top style="thin">
        <color theme="8"/>
      </top>
      <bottom/>
      <diagonal/>
    </border>
    <border>
      <left style="thin">
        <color theme="8"/>
      </left>
      <right/>
      <top style="thin">
        <color indexed="64"/>
      </top>
      <bottom/>
      <diagonal/>
    </border>
    <border>
      <left/>
      <right/>
      <top style="thin">
        <color theme="4"/>
      </top>
      <bottom style="thin">
        <color theme="4"/>
      </bottom>
      <diagonal/>
    </border>
    <border>
      <left style="thin">
        <color theme="8"/>
      </left>
      <right/>
      <top style="thin">
        <color theme="8"/>
      </top>
      <bottom style="thin">
        <color theme="8"/>
      </bottom>
      <diagonal/>
    </border>
    <border>
      <left/>
      <right/>
      <top style="thin">
        <color theme="8"/>
      </top>
      <bottom style="thin">
        <color theme="8"/>
      </bottom>
      <diagonal/>
    </border>
    <border>
      <left style="thin">
        <color indexed="64"/>
      </left>
      <right/>
      <top/>
      <bottom/>
      <diagonal/>
    </border>
    <border>
      <left style="thin">
        <color indexed="64"/>
      </left>
      <right/>
      <top style="thin">
        <color indexed="64"/>
      </top>
      <bottom/>
      <diagonal/>
    </border>
    <border>
      <left/>
      <right style="thin">
        <color indexed="64"/>
      </right>
      <top style="thin">
        <color theme="8"/>
      </top>
      <bottom/>
      <diagonal/>
    </border>
    <border>
      <left/>
      <right style="thin">
        <color indexed="64"/>
      </right>
      <top style="thin">
        <color theme="8"/>
      </top>
      <bottom style="thin">
        <color theme="8"/>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top style="thin">
        <color indexed="64"/>
      </top>
      <bottom style="thin">
        <color indexed="64"/>
      </bottom>
      <diagonal/>
    </border>
    <border>
      <left/>
      <right style="thin">
        <color theme="8"/>
      </right>
      <top style="thin">
        <color theme="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style="thin">
        <color theme="8"/>
      </left>
      <right style="thin">
        <color theme="8"/>
      </right>
      <top style="thin">
        <color theme="8"/>
      </top>
      <bottom/>
      <diagonal/>
    </border>
    <border>
      <left style="thin">
        <color theme="8"/>
      </left>
      <right/>
      <top/>
      <bottom/>
      <diagonal/>
    </border>
    <border>
      <left/>
      <right style="thin">
        <color theme="8"/>
      </right>
      <top/>
      <bottom/>
      <diagonal/>
    </border>
    <border>
      <left style="thin">
        <color theme="8"/>
      </left>
      <right/>
      <top style="thin">
        <color theme="4"/>
      </top>
      <bottom/>
      <diagonal/>
    </border>
    <border>
      <left/>
      <right/>
      <top style="thin">
        <color theme="8"/>
      </top>
      <bottom style="thin">
        <color indexed="64"/>
      </bottom>
      <diagonal/>
    </border>
    <border>
      <left/>
      <right/>
      <top/>
      <bottom style="thick">
        <color theme="4" tint="0.499984740745262"/>
      </bottom>
      <diagonal/>
    </border>
    <border>
      <left/>
      <right style="thin">
        <color theme="9"/>
      </right>
      <top style="thin">
        <color theme="9"/>
      </top>
      <bottom style="thin">
        <color theme="9"/>
      </bottom>
      <diagonal/>
    </border>
    <border>
      <left/>
      <right style="thin">
        <color indexed="64"/>
      </right>
      <top style="thin">
        <color indexed="64"/>
      </top>
      <bottom/>
      <diagonal/>
    </border>
    <border>
      <left style="thin">
        <color indexed="64"/>
      </left>
      <right/>
      <top style="thin">
        <color theme="8"/>
      </top>
      <bottom/>
      <diagonal/>
    </border>
    <border>
      <left/>
      <right style="thin">
        <color theme="9"/>
      </right>
      <top/>
      <bottom/>
      <diagonal/>
    </border>
    <border>
      <left/>
      <right style="thin">
        <color theme="4"/>
      </right>
      <top style="thin">
        <color theme="4"/>
      </top>
      <bottom style="thin">
        <color theme="4"/>
      </bottom>
      <diagonal/>
    </border>
    <border>
      <left style="thin">
        <color theme="4"/>
      </left>
      <right/>
      <top style="thin">
        <color auto="1"/>
      </top>
      <bottom/>
      <diagonal/>
    </border>
    <border>
      <left/>
      <right/>
      <top style="medium">
        <color indexed="64"/>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thin">
        <color theme="4"/>
      </top>
      <bottom/>
      <diagonal/>
    </border>
    <border>
      <left/>
      <right style="medium">
        <color indexed="64"/>
      </right>
      <top style="thin">
        <color theme="4"/>
      </top>
      <bottom/>
      <diagonal/>
    </border>
    <border>
      <left style="medium">
        <color indexed="64"/>
      </left>
      <right/>
      <top style="thin">
        <color theme="4"/>
      </top>
      <bottom style="medium">
        <color indexed="64"/>
      </bottom>
      <diagonal/>
    </border>
    <border>
      <left/>
      <right/>
      <top style="thin">
        <color theme="4"/>
      </top>
      <bottom style="medium">
        <color indexed="64"/>
      </bottom>
      <diagonal/>
    </border>
    <border>
      <left/>
      <right style="medium">
        <color indexed="64"/>
      </right>
      <top style="thin">
        <color theme="4"/>
      </top>
      <bottom style="medium">
        <color indexed="64"/>
      </bottom>
      <diagonal/>
    </border>
  </borders>
  <cellStyleXfs count="13">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5" fillId="0" borderId="0"/>
    <xf numFmtId="0" fontId="1" fillId="0" borderId="0"/>
    <xf numFmtId="0" fontId="12" fillId="0" borderId="0"/>
    <xf numFmtId="0" fontId="1"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9" fillId="0" borderId="0" applyNumberFormat="0" applyBorder="0" applyAlignment="0"/>
    <xf numFmtId="0" fontId="43" fillId="0" borderId="43" applyNumberFormat="0" applyFill="0" applyAlignment="0" applyProtection="0"/>
  </cellStyleXfs>
  <cellXfs count="451">
    <xf numFmtId="0" fontId="0" fillId="0" borderId="0" xfId="0"/>
    <xf numFmtId="0" fontId="6" fillId="0" borderId="0" xfId="4" applyFont="1"/>
    <xf numFmtId="0" fontId="7" fillId="0" borderId="0" xfId="4" applyFont="1"/>
    <xf numFmtId="0" fontId="6" fillId="0" borderId="0" xfId="0" applyFont="1"/>
    <xf numFmtId="0" fontId="8" fillId="3" borderId="0" xfId="4" applyFont="1" applyFill="1"/>
    <xf numFmtId="0" fontId="12" fillId="0" borderId="0" xfId="4" applyFont="1"/>
    <xf numFmtId="0" fontId="13" fillId="0" borderId="0" xfId="4" applyFont="1"/>
    <xf numFmtId="0" fontId="14" fillId="3" borderId="0" xfId="4" applyFont="1" applyFill="1"/>
    <xf numFmtId="3" fontId="7" fillId="0" borderId="0" xfId="4" applyNumberFormat="1" applyFont="1" applyFill="1"/>
    <xf numFmtId="3" fontId="7" fillId="0" borderId="0" xfId="4" applyNumberFormat="1" applyFont="1" applyFill="1" applyBorder="1"/>
    <xf numFmtId="0" fontId="7" fillId="0" borderId="0" xfId="4" applyFont="1" applyFill="1"/>
    <xf numFmtId="166" fontId="6" fillId="0" borderId="7" xfId="0" applyNumberFormat="1" applyFont="1" applyBorder="1"/>
    <xf numFmtId="0" fontId="1" fillId="0" borderId="0" xfId="0" applyFont="1"/>
    <xf numFmtId="0" fontId="10" fillId="4" borderId="0" xfId="4" applyNumberFormat="1" applyFont="1" applyFill="1" applyBorder="1" applyAlignment="1">
      <alignment wrapText="1"/>
    </xf>
    <xf numFmtId="0" fontId="7" fillId="0" borderId="7" xfId="5" applyNumberFormat="1" applyFont="1" applyBorder="1" applyAlignment="1"/>
    <xf numFmtId="0" fontId="7" fillId="0" borderId="7" xfId="4" applyNumberFormat="1" applyFont="1" applyBorder="1" applyAlignment="1"/>
    <xf numFmtId="3" fontId="7" fillId="0" borderId="2" xfId="4" applyNumberFormat="1" applyFont="1" applyBorder="1" applyAlignment="1"/>
    <xf numFmtId="2" fontId="7" fillId="0" borderId="7" xfId="7" applyNumberFormat="1" applyFont="1" applyBorder="1" applyAlignment="1"/>
    <xf numFmtId="0" fontId="7" fillId="0" borderId="2" xfId="5" applyNumberFormat="1" applyFont="1" applyBorder="1" applyAlignment="1"/>
    <xf numFmtId="0" fontId="7" fillId="0" borderId="2" xfId="4" applyNumberFormat="1" applyFont="1" applyBorder="1" applyAlignment="1"/>
    <xf numFmtId="2" fontId="7" fillId="0" borderId="2" xfId="7" applyNumberFormat="1" applyFont="1" applyBorder="1" applyAlignment="1"/>
    <xf numFmtId="0" fontId="8" fillId="0" borderId="2" xfId="4" applyNumberFormat="1" applyFont="1" applyBorder="1" applyAlignment="1"/>
    <xf numFmtId="3" fontId="8" fillId="0" borderId="2" xfId="4" applyNumberFormat="1" applyFont="1" applyBorder="1" applyAlignment="1"/>
    <xf numFmtId="0" fontId="6" fillId="0" borderId="0" xfId="0" applyFont="1" applyFill="1"/>
    <xf numFmtId="0" fontId="15" fillId="0" borderId="0" xfId="0" applyFont="1" applyFill="1"/>
    <xf numFmtId="0" fontId="16" fillId="0" borderId="0" xfId="3" applyFont="1" applyBorder="1"/>
    <xf numFmtId="0" fontId="9" fillId="0" borderId="8" xfId="0" applyFont="1" applyBorder="1" applyAlignment="1">
      <alignment vertical="center"/>
    </xf>
    <xf numFmtId="0" fontId="9" fillId="0" borderId="9" xfId="0" applyFont="1" applyBorder="1" applyAlignment="1">
      <alignment vertical="center"/>
    </xf>
    <xf numFmtId="0" fontId="6" fillId="0" borderId="10" xfId="0" applyFont="1" applyBorder="1" applyAlignment="1">
      <alignment vertical="center"/>
    </xf>
    <xf numFmtId="168" fontId="6" fillId="0" borderId="0" xfId="0" applyNumberFormat="1" applyFont="1" applyBorder="1" applyAlignment="1">
      <alignment vertical="center"/>
    </xf>
    <xf numFmtId="0" fontId="6" fillId="0" borderId="0" xfId="0" applyFont="1" applyAlignment="1">
      <alignment vertical="center"/>
    </xf>
    <xf numFmtId="0" fontId="6" fillId="0" borderId="0" xfId="0" applyFont="1" applyAlignment="1"/>
    <xf numFmtId="0" fontId="0" fillId="0" borderId="0" xfId="0" applyAlignment="1"/>
    <xf numFmtId="0" fontId="7" fillId="0" borderId="0" xfId="0" applyFont="1" applyAlignment="1"/>
    <xf numFmtId="0" fontId="9" fillId="0" borderId="0" xfId="4" applyFont="1"/>
    <xf numFmtId="0" fontId="6" fillId="0" borderId="0" xfId="4" applyFont="1" applyAlignment="1">
      <alignment horizontal="right"/>
    </xf>
    <xf numFmtId="0" fontId="6" fillId="0" borderId="0" xfId="4" applyFont="1" applyFill="1"/>
    <xf numFmtId="1" fontId="6" fillId="0" borderId="0" xfId="4" applyNumberFormat="1" applyFont="1" applyFill="1"/>
    <xf numFmtId="0" fontId="17" fillId="0" borderId="0" xfId="4" applyFont="1"/>
    <xf numFmtId="0" fontId="17" fillId="0" borderId="0" xfId="4" applyFont="1" applyFill="1"/>
    <xf numFmtId="3" fontId="17" fillId="0" borderId="0" xfId="4" applyNumberFormat="1" applyFont="1"/>
    <xf numFmtId="1" fontId="17" fillId="0" borderId="0" xfId="4" applyNumberFormat="1" applyFont="1"/>
    <xf numFmtId="0" fontId="24" fillId="0" borderId="0" xfId="4" applyFont="1"/>
    <xf numFmtId="0" fontId="25" fillId="0" borderId="0" xfId="0" applyFont="1"/>
    <xf numFmtId="169" fontId="17" fillId="0" borderId="0" xfId="4" applyNumberFormat="1" applyFont="1"/>
    <xf numFmtId="0" fontId="17" fillId="0" borderId="0" xfId="0" applyFont="1" applyAlignment="1">
      <alignment horizontal="left"/>
    </xf>
    <xf numFmtId="0" fontId="17" fillId="0" borderId="0" xfId="4" applyFont="1" applyFill="1" applyBorder="1"/>
    <xf numFmtId="0" fontId="21" fillId="6" borderId="11" xfId="4" applyNumberFormat="1" applyFont="1" applyFill="1" applyBorder="1" applyAlignment="1"/>
    <xf numFmtId="0" fontId="21" fillId="0" borderId="0" xfId="4" applyNumberFormat="1" applyFont="1" applyFill="1" applyBorder="1" applyAlignment="1"/>
    <xf numFmtId="0" fontId="17" fillId="0" borderId="0" xfId="0" applyFont="1" applyFill="1"/>
    <xf numFmtId="0" fontId="18" fillId="0" borderId="0" xfId="4" applyFont="1" applyFill="1" applyBorder="1" applyAlignment="1"/>
    <xf numFmtId="0" fontId="17" fillId="3" borderId="0" xfId="4" applyFont="1" applyFill="1"/>
    <xf numFmtId="0" fontId="21" fillId="6" borderId="0" xfId="4" applyNumberFormat="1" applyFont="1" applyFill="1" applyBorder="1" applyAlignment="1"/>
    <xf numFmtId="0" fontId="21" fillId="6" borderId="0" xfId="4" applyNumberFormat="1" applyFont="1" applyFill="1" applyBorder="1" applyAlignment="1">
      <alignment wrapText="1"/>
    </xf>
    <xf numFmtId="3" fontId="21" fillId="6" borderId="0" xfId="4" applyNumberFormat="1" applyFont="1" applyFill="1" applyBorder="1" applyAlignment="1"/>
    <xf numFmtId="0" fontId="21" fillId="5" borderId="0" xfId="4" applyNumberFormat="1" applyFont="1" applyFill="1" applyBorder="1" applyAlignment="1"/>
    <xf numFmtId="0" fontId="17" fillId="0" borderId="12" xfId="4" applyNumberFormat="1" applyFont="1" applyBorder="1" applyAlignment="1"/>
    <xf numFmtId="3" fontId="17" fillId="0" borderId="12" xfId="4" applyNumberFormat="1" applyFont="1" applyBorder="1" applyAlignment="1"/>
    <xf numFmtId="0" fontId="18" fillId="0" borderId="7" xfId="4" applyNumberFormat="1" applyFont="1" applyBorder="1" applyAlignment="1"/>
    <xf numFmtId="0" fontId="17" fillId="0" borderId="7" xfId="4" applyNumberFormat="1" applyFont="1" applyBorder="1" applyAlignment="1"/>
    <xf numFmtId="3" fontId="18" fillId="0" borderId="7" xfId="4" applyNumberFormat="1" applyFont="1" applyBorder="1" applyAlignment="1"/>
    <xf numFmtId="0" fontId="18" fillId="0" borderId="0" xfId="4" applyFont="1"/>
    <xf numFmtId="0" fontId="27" fillId="0" borderId="0" xfId="4" applyFont="1" applyFill="1" applyBorder="1"/>
    <xf numFmtId="0" fontId="18" fillId="3" borderId="0" xfId="4" applyFont="1" applyFill="1"/>
    <xf numFmtId="0" fontId="23" fillId="3" borderId="0" xfId="4" applyFont="1" applyFill="1"/>
    <xf numFmtId="0" fontId="21" fillId="5" borderId="2" xfId="4" applyNumberFormat="1" applyFont="1" applyFill="1" applyBorder="1" applyAlignment="1"/>
    <xf numFmtId="0" fontId="21" fillId="6" borderId="12" xfId="4" applyNumberFormat="1" applyFont="1" applyFill="1" applyBorder="1" applyAlignment="1">
      <alignment horizontal="left"/>
    </xf>
    <xf numFmtId="0" fontId="21" fillId="6" borderId="12" xfId="4" applyNumberFormat="1" applyFont="1" applyFill="1" applyBorder="1" applyAlignment="1">
      <alignment wrapText="1"/>
    </xf>
    <xf numFmtId="0" fontId="21" fillId="5" borderId="12" xfId="4" applyNumberFormat="1" applyFont="1" applyFill="1" applyBorder="1" applyAlignment="1">
      <alignment horizontal="left" wrapText="1"/>
    </xf>
    <xf numFmtId="0" fontId="21" fillId="6" borderId="12" xfId="4" applyNumberFormat="1" applyFont="1" applyFill="1" applyBorder="1" applyAlignment="1">
      <alignment horizontal="left" wrapText="1"/>
    </xf>
    <xf numFmtId="0" fontId="28" fillId="0" borderId="0" xfId="4" applyFont="1" applyFill="1" applyBorder="1"/>
    <xf numFmtId="0" fontId="24" fillId="0" borderId="7" xfId="5" applyNumberFormat="1" applyFont="1" applyBorder="1" applyAlignment="1"/>
    <xf numFmtId="3" fontId="17" fillId="0" borderId="7" xfId="4" applyNumberFormat="1" applyFont="1" applyBorder="1" applyAlignment="1"/>
    <xf numFmtId="2" fontId="17" fillId="0" borderId="7" xfId="4" applyNumberFormat="1" applyFont="1" applyBorder="1" applyAlignment="1"/>
    <xf numFmtId="166" fontId="17" fillId="0" borderId="7" xfId="4" applyNumberFormat="1" applyFont="1" applyBorder="1" applyAlignment="1"/>
    <xf numFmtId="3" fontId="27" fillId="0" borderId="0" xfId="4" applyNumberFormat="1" applyFont="1" applyFill="1" applyBorder="1"/>
    <xf numFmtId="0" fontId="24" fillId="0" borderId="2" xfId="5" applyNumberFormat="1" applyFont="1" applyBorder="1" applyAlignment="1"/>
    <xf numFmtId="166" fontId="17" fillId="0" borderId="12" xfId="4" applyNumberFormat="1" applyFont="1" applyBorder="1" applyAlignment="1"/>
    <xf numFmtId="0" fontId="17" fillId="0" borderId="2" xfId="4" applyNumberFormat="1" applyFont="1" applyBorder="1" applyAlignment="1"/>
    <xf numFmtId="0" fontId="17" fillId="0" borderId="14" xfId="4" applyNumberFormat="1" applyFont="1" applyBorder="1" applyAlignment="1"/>
    <xf numFmtId="2" fontId="18" fillId="0" borderId="7" xfId="4" applyNumberFormat="1" applyFont="1" applyBorder="1" applyAlignment="1"/>
    <xf numFmtId="166" fontId="18" fillId="0" borderId="7" xfId="4" applyNumberFormat="1" applyFont="1" applyBorder="1" applyAlignment="1"/>
    <xf numFmtId="166" fontId="18" fillId="0" borderId="16" xfId="4" applyNumberFormat="1" applyFont="1" applyBorder="1" applyAlignment="1"/>
    <xf numFmtId="3" fontId="18" fillId="0" borderId="0" xfId="4" applyNumberFormat="1" applyFont="1"/>
    <xf numFmtId="2" fontId="18" fillId="0" borderId="0" xfId="4" applyNumberFormat="1" applyFont="1"/>
    <xf numFmtId="166" fontId="18" fillId="0" borderId="0" xfId="4" applyNumberFormat="1" applyFont="1"/>
    <xf numFmtId="3" fontId="18" fillId="0" borderId="0" xfId="4" applyNumberFormat="1" applyFont="1" applyFill="1"/>
    <xf numFmtId="0" fontId="21" fillId="6" borderId="0" xfId="4" applyNumberFormat="1" applyFont="1" applyFill="1" applyBorder="1" applyAlignment="1">
      <alignment horizontal="center"/>
    </xf>
    <xf numFmtId="0" fontId="21" fillId="6" borderId="17" xfId="4" applyNumberFormat="1" applyFont="1" applyFill="1" applyBorder="1" applyAlignment="1"/>
    <xf numFmtId="3" fontId="18" fillId="0" borderId="18" xfId="4" applyNumberFormat="1" applyFont="1" applyBorder="1" applyAlignment="1"/>
    <xf numFmtId="0" fontId="24" fillId="0" borderId="12" xfId="5" applyNumberFormat="1" applyFont="1" applyBorder="1" applyAlignment="1"/>
    <xf numFmtId="169" fontId="18" fillId="0" borderId="12" xfId="8" applyNumberFormat="1" applyFont="1" applyBorder="1"/>
    <xf numFmtId="169" fontId="18" fillId="0" borderId="12" xfId="9" applyNumberFormat="1" applyFont="1" applyBorder="1" applyAlignment="1"/>
    <xf numFmtId="0" fontId="17" fillId="3" borderId="0" xfId="4" applyFont="1" applyFill="1" applyBorder="1"/>
    <xf numFmtId="0" fontId="24" fillId="3" borderId="0" xfId="4" applyFont="1" applyFill="1" applyBorder="1"/>
    <xf numFmtId="0" fontId="24" fillId="0" borderId="0" xfId="4" applyFont="1" applyFill="1" applyBorder="1"/>
    <xf numFmtId="0" fontId="17" fillId="0" borderId="0" xfId="4" applyFont="1" applyFill="1" applyBorder="1" applyAlignment="1">
      <alignment wrapText="1"/>
    </xf>
    <xf numFmtId="0" fontId="17" fillId="0" borderId="0" xfId="4" applyFont="1" applyFill="1" applyBorder="1" applyAlignment="1">
      <alignment horizontal="left"/>
    </xf>
    <xf numFmtId="3" fontId="17" fillId="0" borderId="0" xfId="4" applyNumberFormat="1" applyFont="1" applyFill="1" applyBorder="1"/>
    <xf numFmtId="3" fontId="24" fillId="0" borderId="0" xfId="4" applyNumberFormat="1" applyFont="1" applyFill="1" applyBorder="1"/>
    <xf numFmtId="0" fontId="18" fillId="0" borderId="0" xfId="4" applyFont="1" applyFill="1" applyBorder="1"/>
    <xf numFmtId="0" fontId="20" fillId="3" borderId="0" xfId="4" applyFont="1" applyFill="1" applyBorder="1"/>
    <xf numFmtId="0" fontId="21" fillId="0" borderId="6" xfId="4" applyFont="1" applyFill="1" applyBorder="1" applyAlignment="1">
      <alignment wrapText="1"/>
    </xf>
    <xf numFmtId="0" fontId="20" fillId="0" borderId="0" xfId="4" applyFont="1" applyFill="1" applyBorder="1"/>
    <xf numFmtId="166" fontId="24" fillId="0" borderId="0" xfId="4" applyNumberFormat="1" applyFont="1" applyFill="1" applyBorder="1"/>
    <xf numFmtId="2" fontId="24" fillId="0" borderId="0" xfId="4" applyNumberFormat="1" applyFont="1" applyFill="1" applyBorder="1"/>
    <xf numFmtId="3" fontId="20" fillId="0" borderId="0" xfId="4" applyNumberFormat="1" applyFont="1" applyFill="1" applyBorder="1"/>
    <xf numFmtId="166" fontId="20" fillId="0" borderId="0" xfId="4" applyNumberFormat="1" applyFont="1" applyFill="1" applyBorder="1"/>
    <xf numFmtId="2" fontId="20" fillId="0" borderId="0" xfId="4" applyNumberFormat="1" applyFont="1" applyFill="1" applyBorder="1"/>
    <xf numFmtId="0" fontId="20" fillId="0" borderId="0" xfId="4" applyFont="1"/>
    <xf numFmtId="9" fontId="24" fillId="0" borderId="0" xfId="4" applyNumberFormat="1" applyFont="1"/>
    <xf numFmtId="3" fontId="24" fillId="0" borderId="0" xfId="4" applyNumberFormat="1" applyFont="1"/>
    <xf numFmtId="1" fontId="24" fillId="0" borderId="0" xfId="4" applyNumberFormat="1" applyFont="1"/>
    <xf numFmtId="0" fontId="24" fillId="0" borderId="0" xfId="4" applyFont="1" applyAlignment="1">
      <alignment horizontal="right"/>
    </xf>
    <xf numFmtId="0" fontId="24" fillId="0" borderId="0" xfId="4" applyFont="1" applyFill="1"/>
    <xf numFmtId="1" fontId="24" fillId="0" borderId="0" xfId="4" applyNumberFormat="1" applyFont="1" applyFill="1"/>
    <xf numFmtId="3" fontId="6" fillId="0" borderId="0" xfId="0" applyNumberFormat="1" applyFont="1" applyAlignment="1">
      <alignment horizontal="right"/>
    </xf>
    <xf numFmtId="0" fontId="21" fillId="0" borderId="0" xfId="4" applyNumberFormat="1" applyFont="1" applyFill="1" applyBorder="1" applyAlignment="1">
      <alignment wrapText="1"/>
    </xf>
    <xf numFmtId="3" fontId="18" fillId="0" borderId="19" xfId="4" applyNumberFormat="1" applyFont="1" applyBorder="1" applyAlignment="1"/>
    <xf numFmtId="3" fontId="18" fillId="0" borderId="20" xfId="4" applyNumberFormat="1" applyFont="1" applyBorder="1" applyAlignment="1"/>
    <xf numFmtId="0" fontId="18" fillId="0" borderId="0" xfId="0" applyNumberFormat="1" applyFont="1" applyFill="1" applyBorder="1" applyAlignment="1"/>
    <xf numFmtId="0" fontId="8" fillId="3" borderId="0" xfId="4" applyFont="1" applyFill="1" applyAlignment="1"/>
    <xf numFmtId="165" fontId="6" fillId="0" borderId="0" xfId="0" applyNumberFormat="1" applyFont="1" applyBorder="1" applyAlignment="1"/>
    <xf numFmtId="0" fontId="9" fillId="0" borderId="0" xfId="0" applyFont="1" applyAlignment="1"/>
    <xf numFmtId="165" fontId="9" fillId="0" borderId="0" xfId="0" applyNumberFormat="1" applyFont="1" applyFill="1" applyBorder="1" applyAlignment="1"/>
    <xf numFmtId="0" fontId="0" fillId="0" borderId="0" xfId="0" applyFont="1"/>
    <xf numFmtId="0" fontId="29" fillId="3" borderId="0" xfId="4" applyFont="1" applyFill="1" applyAlignment="1">
      <alignment horizontal="right"/>
    </xf>
    <xf numFmtId="0" fontId="23" fillId="0" borderId="0" xfId="4" applyFont="1" applyFill="1" applyBorder="1"/>
    <xf numFmtId="0" fontId="6" fillId="0" borderId="3" xfId="0" applyFont="1" applyFill="1" applyBorder="1" applyAlignment="1"/>
    <xf numFmtId="0" fontId="4" fillId="2" borderId="0" xfId="0" applyFont="1" applyFill="1" applyAlignment="1">
      <alignment horizontal="right"/>
    </xf>
    <xf numFmtId="3" fontId="6" fillId="0" borderId="0" xfId="0" applyNumberFormat="1" applyFont="1" applyFill="1" applyBorder="1" applyAlignment="1"/>
    <xf numFmtId="3" fontId="9" fillId="0" borderId="4" xfId="0" applyNumberFormat="1" applyFont="1" applyFill="1" applyBorder="1" applyAlignment="1"/>
    <xf numFmtId="0" fontId="30" fillId="0" borderId="0" xfId="0" applyFont="1"/>
    <xf numFmtId="0" fontId="10" fillId="4" borderId="21" xfId="4" applyNumberFormat="1" applyFont="1" applyFill="1" applyBorder="1" applyAlignment="1">
      <alignment horizontal="left"/>
    </xf>
    <xf numFmtId="0" fontId="10" fillId="4" borderId="22" xfId="4" applyNumberFormat="1" applyFont="1" applyFill="1" applyBorder="1" applyAlignment="1">
      <alignment horizontal="left"/>
    </xf>
    <xf numFmtId="0" fontId="7" fillId="0" borderId="3" xfId="5" applyNumberFormat="1" applyFont="1" applyBorder="1" applyAlignment="1"/>
    <xf numFmtId="0" fontId="7" fillId="0" borderId="3" xfId="4" applyNumberFormat="1" applyFont="1" applyBorder="1" applyAlignment="1"/>
    <xf numFmtId="3" fontId="6" fillId="0" borderId="0" xfId="0" applyNumberFormat="1" applyFont="1"/>
    <xf numFmtId="3" fontId="9" fillId="0" borderId="0" xfId="0" applyNumberFormat="1" applyFont="1"/>
    <xf numFmtId="0" fontId="10" fillId="4" borderId="22" xfId="4" applyNumberFormat="1" applyFont="1" applyFill="1" applyBorder="1" applyAlignment="1">
      <alignment horizontal="left" wrapText="1"/>
    </xf>
    <xf numFmtId="3" fontId="17" fillId="0" borderId="0" xfId="4" applyNumberFormat="1" applyFont="1" applyBorder="1" applyAlignment="1"/>
    <xf numFmtId="0" fontId="31" fillId="8" borderId="0" xfId="0" applyFont="1" applyFill="1"/>
    <xf numFmtId="0" fontId="32" fillId="0" borderId="0" xfId="0" applyFont="1"/>
    <xf numFmtId="0" fontId="9" fillId="0" borderId="3" xfId="0" applyFont="1" applyFill="1" applyBorder="1" applyAlignment="1"/>
    <xf numFmtId="0" fontId="10" fillId="7" borderId="0" xfId="0" applyFont="1" applyFill="1" applyAlignment="1">
      <alignment horizontal="left" wrapText="1"/>
    </xf>
    <xf numFmtId="0" fontId="30" fillId="0" borderId="0" xfId="0" applyFont="1" applyAlignment="1">
      <alignment horizontal="left"/>
    </xf>
    <xf numFmtId="3" fontId="7" fillId="0" borderId="7" xfId="4" applyNumberFormat="1" applyFont="1" applyBorder="1" applyAlignment="1"/>
    <xf numFmtId="0" fontId="7" fillId="0" borderId="0" xfId="4" applyNumberFormat="1" applyFont="1" applyBorder="1" applyAlignment="1"/>
    <xf numFmtId="3" fontId="7" fillId="0" borderId="0" xfId="4" applyNumberFormat="1" applyFont="1" applyBorder="1" applyAlignment="1"/>
    <xf numFmtId="167" fontId="7" fillId="0" borderId="0" xfId="6" applyNumberFormat="1" applyFont="1" applyBorder="1" applyAlignment="1"/>
    <xf numFmtId="166" fontId="7" fillId="0" borderId="0" xfId="4" applyNumberFormat="1" applyFont="1" applyBorder="1" applyAlignment="1"/>
    <xf numFmtId="0" fontId="9" fillId="3" borderId="0" xfId="4" applyFont="1" applyFill="1"/>
    <xf numFmtId="0" fontId="8" fillId="3" borderId="0" xfId="4" applyNumberFormat="1" applyFont="1" applyFill="1" applyBorder="1" applyAlignment="1"/>
    <xf numFmtId="3" fontId="8" fillId="3" borderId="0" xfId="4" applyNumberFormat="1" applyFont="1" applyFill="1" applyBorder="1" applyAlignment="1"/>
    <xf numFmtId="167" fontId="8" fillId="3" borderId="0" xfId="6" applyNumberFormat="1" applyFont="1" applyFill="1" applyBorder="1" applyAlignment="1"/>
    <xf numFmtId="166" fontId="8" fillId="3" borderId="0" xfId="4" applyNumberFormat="1" applyFont="1" applyFill="1" applyBorder="1" applyAlignment="1"/>
    <xf numFmtId="0" fontId="14" fillId="3" borderId="0" xfId="4" applyNumberFormat="1" applyFont="1" applyFill="1" applyBorder="1" applyAlignment="1"/>
    <xf numFmtId="0" fontId="14" fillId="0" borderId="0" xfId="0" applyFont="1" applyFill="1"/>
    <xf numFmtId="0" fontId="7" fillId="0" borderId="0" xfId="0" applyFont="1"/>
    <xf numFmtId="0" fontId="14" fillId="0" borderId="0" xfId="0" applyFont="1"/>
    <xf numFmtId="0" fontId="33" fillId="8" borderId="0" xfId="0" applyFont="1" applyFill="1"/>
    <xf numFmtId="0" fontId="21" fillId="6" borderId="12" xfId="4" applyNumberFormat="1" applyFont="1" applyFill="1" applyBorder="1" applyAlignment="1"/>
    <xf numFmtId="3" fontId="21" fillId="6" borderId="12" xfId="4" applyNumberFormat="1" applyFont="1" applyFill="1" applyBorder="1" applyAlignment="1"/>
    <xf numFmtId="0" fontId="21" fillId="5" borderId="12" xfId="4" applyNumberFormat="1" applyFont="1" applyFill="1" applyBorder="1" applyAlignment="1"/>
    <xf numFmtId="0" fontId="21" fillId="6" borderId="24" xfId="4" applyNumberFormat="1" applyFont="1" applyFill="1" applyBorder="1" applyAlignment="1"/>
    <xf numFmtId="0" fontId="17" fillId="8" borderId="0" xfId="4" applyFont="1" applyFill="1"/>
    <xf numFmtId="0" fontId="35" fillId="5" borderId="0" xfId="4" applyNumberFormat="1" applyFont="1" applyFill="1" applyAlignment="1">
      <alignment horizontal="left" wrapText="1"/>
    </xf>
    <xf numFmtId="3" fontId="34" fillId="0" borderId="0" xfId="4" applyNumberFormat="1" applyFont="1" applyFill="1" applyBorder="1" applyAlignment="1"/>
    <xf numFmtId="3" fontId="18" fillId="0" borderId="0" xfId="4" applyNumberFormat="1" applyFont="1" applyFill="1" applyBorder="1" applyAlignment="1"/>
    <xf numFmtId="0" fontId="37" fillId="0" borderId="0" xfId="0" applyFont="1" applyFill="1"/>
    <xf numFmtId="0" fontId="6" fillId="0" borderId="0" xfId="0" applyFont="1" applyBorder="1"/>
    <xf numFmtId="0" fontId="0" fillId="0" borderId="0" xfId="0" applyBorder="1"/>
    <xf numFmtId="0" fontId="7" fillId="0" borderId="0" xfId="0" applyFont="1" applyFill="1" applyBorder="1"/>
    <xf numFmtId="0" fontId="15" fillId="0" borderId="0" xfId="0" applyFont="1" applyFill="1" applyBorder="1"/>
    <xf numFmtId="0" fontId="38" fillId="0" borderId="0" xfId="0" applyFont="1"/>
    <xf numFmtId="0" fontId="38" fillId="0" borderId="0" xfId="0" applyFont="1" applyAlignment="1">
      <alignment horizontal="left"/>
    </xf>
    <xf numFmtId="172" fontId="38" fillId="0" borderId="0" xfId="0" applyNumberFormat="1" applyFont="1" applyAlignment="1">
      <alignment horizontal="left"/>
    </xf>
    <xf numFmtId="165" fontId="6" fillId="0" borderId="0" xfId="0" applyNumberFormat="1" applyFont="1" applyFill="1" applyBorder="1"/>
    <xf numFmtId="173" fontId="6" fillId="0" borderId="0" xfId="10" applyNumberFormat="1" applyFont="1" applyFill="1"/>
    <xf numFmtId="173" fontId="6" fillId="0" borderId="0" xfId="10" applyNumberFormat="1" applyFont="1"/>
    <xf numFmtId="0" fontId="7" fillId="0" borderId="27" xfId="4" applyNumberFormat="1" applyFont="1" applyBorder="1" applyAlignment="1"/>
    <xf numFmtId="0" fontId="8" fillId="0" borderId="28" xfId="4" applyNumberFormat="1" applyFont="1" applyBorder="1" applyAlignment="1"/>
    <xf numFmtId="165" fontId="9" fillId="0" borderId="28" xfId="0" applyNumberFormat="1" applyFont="1" applyFill="1" applyBorder="1"/>
    <xf numFmtId="3" fontId="7" fillId="0" borderId="0" xfId="4" applyNumberFormat="1" applyFont="1"/>
    <xf numFmtId="3" fontId="0" fillId="0" borderId="0" xfId="0" applyNumberFormat="1" applyAlignment="1"/>
    <xf numFmtId="1" fontId="23" fillId="0" borderId="0" xfId="4" applyNumberFormat="1" applyFont="1"/>
    <xf numFmtId="0" fontId="7" fillId="0" borderId="8" xfId="0" applyFont="1" applyFill="1" applyBorder="1" applyAlignment="1">
      <alignment vertical="center"/>
    </xf>
    <xf numFmtId="168" fontId="7" fillId="0" borderId="9" xfId="0" applyNumberFormat="1" applyFont="1" applyFill="1" applyBorder="1" applyAlignment="1">
      <alignment vertical="center"/>
    </xf>
    <xf numFmtId="0" fontId="10" fillId="4" borderId="30" xfId="0" applyFont="1" applyFill="1" applyBorder="1" applyAlignment="1">
      <alignment vertical="center"/>
    </xf>
    <xf numFmtId="0" fontId="10" fillId="4" borderId="31" xfId="0" applyFont="1" applyFill="1" applyBorder="1" applyAlignment="1">
      <alignment vertical="center"/>
    </xf>
    <xf numFmtId="0" fontId="6" fillId="0" borderId="30" xfId="0" applyFont="1" applyBorder="1" applyAlignment="1">
      <alignment vertical="center"/>
    </xf>
    <xf numFmtId="168" fontId="6" fillId="0" borderId="31" xfId="0" applyNumberFormat="1" applyFont="1" applyBorder="1" applyAlignment="1">
      <alignment vertical="center"/>
    </xf>
    <xf numFmtId="0" fontId="39" fillId="0" borderId="8" xfId="0" applyFont="1" applyFill="1" applyBorder="1" applyAlignment="1">
      <alignment vertical="center"/>
    </xf>
    <xf numFmtId="168" fontId="39" fillId="0" borderId="9" xfId="0" applyNumberFormat="1" applyFont="1" applyFill="1" applyBorder="1" applyAlignment="1">
      <alignment vertical="center"/>
    </xf>
    <xf numFmtId="0" fontId="6" fillId="0" borderId="31" xfId="0" applyFont="1" applyBorder="1" applyAlignment="1">
      <alignment vertical="center"/>
    </xf>
    <xf numFmtId="168" fontId="6" fillId="0" borderId="34" xfId="0" applyNumberFormat="1" applyFont="1" applyBorder="1" applyAlignment="1">
      <alignment vertical="center"/>
    </xf>
    <xf numFmtId="0" fontId="6" fillId="0" borderId="32" xfId="0" applyFont="1" applyBorder="1" applyAlignment="1">
      <alignment vertical="center"/>
    </xf>
    <xf numFmtId="168" fontId="6" fillId="0" borderId="33" xfId="0" applyNumberFormat="1" applyFont="1" applyBorder="1" applyAlignment="1">
      <alignment vertical="center"/>
    </xf>
    <xf numFmtId="0" fontId="15" fillId="0" borderId="0" xfId="0" applyFont="1"/>
    <xf numFmtId="0" fontId="40" fillId="0" borderId="0" xfId="0" applyFont="1"/>
    <xf numFmtId="0" fontId="26" fillId="0" borderId="25" xfId="4" applyNumberFormat="1" applyFont="1" applyFill="1" applyBorder="1" applyAlignment="1">
      <alignment wrapText="1"/>
    </xf>
    <xf numFmtId="169" fontId="26" fillId="0" borderId="23" xfId="8" applyNumberFormat="1" applyFont="1" applyFill="1" applyBorder="1"/>
    <xf numFmtId="170" fontId="36" fillId="0" borderId="26" xfId="4" applyNumberFormat="1" applyFont="1" applyFill="1" applyBorder="1" applyAlignment="1"/>
    <xf numFmtId="0" fontId="42" fillId="0" borderId="0" xfId="0" applyFont="1" applyAlignment="1"/>
    <xf numFmtId="0" fontId="41" fillId="0" borderId="0" xfId="0" applyFont="1"/>
    <xf numFmtId="3" fontId="25" fillId="0" borderId="0" xfId="0" applyNumberFormat="1" applyFont="1"/>
    <xf numFmtId="3" fontId="17" fillId="0" borderId="36" xfId="4" applyNumberFormat="1" applyFont="1" applyBorder="1" applyAlignment="1"/>
    <xf numFmtId="0" fontId="9" fillId="0" borderId="0" xfId="4" applyFont="1" applyFill="1"/>
    <xf numFmtId="0" fontId="14" fillId="0" borderId="0" xfId="4" applyFont="1" applyBorder="1"/>
    <xf numFmtId="173" fontId="9" fillId="0" borderId="0" xfId="10" applyNumberFormat="1" applyFont="1"/>
    <xf numFmtId="3" fontId="18" fillId="0" borderId="41" xfId="4" applyNumberFormat="1" applyFont="1" applyBorder="1" applyAlignment="1"/>
    <xf numFmtId="3" fontId="18" fillId="0" borderId="3" xfId="4" applyNumberFormat="1" applyFont="1" applyBorder="1" applyAlignment="1"/>
    <xf numFmtId="3" fontId="18" fillId="0" borderId="38" xfId="4" applyNumberFormat="1" applyFont="1" applyBorder="1" applyAlignment="1"/>
    <xf numFmtId="3" fontId="21" fillId="9" borderId="35" xfId="4" applyNumberFormat="1" applyFont="1" applyFill="1" applyBorder="1" applyAlignment="1"/>
    <xf numFmtId="3" fontId="21" fillId="9" borderId="36" xfId="4" applyNumberFormat="1" applyFont="1" applyFill="1" applyBorder="1" applyAlignment="1"/>
    <xf numFmtId="3" fontId="22" fillId="9" borderId="37" xfId="4" applyNumberFormat="1" applyFont="1" applyFill="1" applyBorder="1" applyAlignment="1"/>
    <xf numFmtId="3" fontId="21" fillId="5" borderId="35" xfId="4" applyNumberFormat="1" applyFont="1" applyFill="1" applyBorder="1" applyAlignment="1"/>
    <xf numFmtId="3" fontId="21" fillId="5" borderId="36" xfId="4" applyNumberFormat="1" applyFont="1" applyFill="1" applyBorder="1" applyAlignment="1"/>
    <xf numFmtId="0" fontId="41" fillId="0" borderId="0" xfId="0" applyFont="1" applyFill="1"/>
    <xf numFmtId="0" fontId="0" fillId="0" borderId="0" xfId="0" applyFill="1"/>
    <xf numFmtId="167" fontId="7" fillId="0" borderId="7" xfId="4" applyNumberFormat="1" applyFont="1" applyBorder="1" applyAlignment="1"/>
    <xf numFmtId="166" fontId="7" fillId="0" borderId="7" xfId="4" applyNumberFormat="1" applyFont="1" applyBorder="1" applyAlignment="1"/>
    <xf numFmtId="167" fontId="7" fillId="0" borderId="2" xfId="4" applyNumberFormat="1" applyFont="1" applyBorder="1" applyAlignment="1"/>
    <xf numFmtId="166" fontId="7" fillId="0" borderId="2" xfId="4" applyNumberFormat="1" applyFont="1" applyBorder="1" applyAlignment="1"/>
    <xf numFmtId="167" fontId="8" fillId="0" borderId="2" xfId="4" applyNumberFormat="1" applyFont="1" applyBorder="1" applyAlignment="1"/>
    <xf numFmtId="166" fontId="8" fillId="0" borderId="2" xfId="4" applyNumberFormat="1" applyFont="1" applyBorder="1" applyAlignment="1"/>
    <xf numFmtId="2" fontId="7" fillId="0" borderId="7" xfId="4" applyNumberFormat="1" applyFont="1" applyBorder="1" applyAlignment="1"/>
    <xf numFmtId="2" fontId="7" fillId="0" borderId="2" xfId="4" applyNumberFormat="1" applyFont="1" applyBorder="1" applyAlignment="1"/>
    <xf numFmtId="0" fontId="10" fillId="4" borderId="0" xfId="4" applyNumberFormat="1" applyFont="1" applyFill="1" applyBorder="1" applyAlignment="1"/>
    <xf numFmtId="0" fontId="10" fillId="4" borderId="0" xfId="4" applyNumberFormat="1" applyFont="1" applyFill="1" applyBorder="1" applyAlignment="1">
      <alignment horizontal="center"/>
    </xf>
    <xf numFmtId="0" fontId="10" fillId="4" borderId="0" xfId="4" applyNumberFormat="1" applyFont="1" applyFill="1" applyBorder="1" applyAlignment="1">
      <alignment horizontal="center" wrapText="1"/>
    </xf>
    <xf numFmtId="0" fontId="6" fillId="0" borderId="7" xfId="5" applyNumberFormat="1" applyFont="1" applyBorder="1" applyAlignment="1"/>
    <xf numFmtId="0" fontId="6" fillId="0" borderId="2" xfId="5" applyNumberFormat="1" applyFont="1" applyBorder="1" applyAlignment="1"/>
    <xf numFmtId="49" fontId="10" fillId="4" borderId="0" xfId="4" applyNumberFormat="1" applyFont="1" applyFill="1" applyBorder="1" applyAlignment="1">
      <alignment wrapText="1"/>
    </xf>
    <xf numFmtId="3" fontId="17" fillId="0" borderId="42" xfId="4" applyNumberFormat="1" applyFont="1" applyBorder="1" applyAlignment="1"/>
    <xf numFmtId="3" fontId="24" fillId="0" borderId="2" xfId="4" applyNumberFormat="1" applyFont="1" applyBorder="1" applyAlignment="1"/>
    <xf numFmtId="3" fontId="20" fillId="0" borderId="2" xfId="4" applyNumberFormat="1" applyFont="1" applyBorder="1" applyAlignment="1"/>
    <xf numFmtId="0" fontId="24" fillId="0" borderId="0" xfId="4" applyNumberFormat="1" applyFont="1" applyBorder="1" applyAlignment="1"/>
    <xf numFmtId="0" fontId="20" fillId="0" borderId="0" xfId="4" applyNumberFormat="1" applyFont="1" applyBorder="1" applyAlignment="1"/>
    <xf numFmtId="172" fontId="24" fillId="0" borderId="0" xfId="4" applyNumberFormat="1" applyFont="1" applyBorder="1" applyAlignment="1"/>
    <xf numFmtId="3" fontId="20" fillId="0" borderId="0" xfId="4" applyNumberFormat="1" applyFont="1" applyBorder="1" applyAlignment="1"/>
    <xf numFmtId="0" fontId="24" fillId="0" borderId="0" xfId="4" applyFont="1" applyBorder="1" applyAlignment="1">
      <alignment horizontal="right"/>
    </xf>
    <xf numFmtId="0" fontId="6" fillId="0" borderId="0" xfId="4" applyFont="1" applyBorder="1" applyAlignment="1">
      <alignment horizontal="right"/>
    </xf>
    <xf numFmtId="0" fontId="24" fillId="0" borderId="2" xfId="4" applyNumberFormat="1" applyFont="1" applyBorder="1" applyAlignment="1"/>
    <xf numFmtId="0" fontId="21" fillId="4" borderId="0" xfId="4" applyNumberFormat="1" applyFont="1" applyFill="1" applyBorder="1" applyAlignment="1"/>
    <xf numFmtId="0" fontId="21" fillId="6" borderId="39" xfId="0" applyNumberFormat="1" applyFont="1" applyFill="1" applyBorder="1" applyAlignment="1" applyProtection="1">
      <alignment horizontal="left" wrapText="1"/>
    </xf>
    <xf numFmtId="0" fontId="21" fillId="6" borderId="0" xfId="0" applyNumberFormat="1" applyFont="1" applyFill="1" applyBorder="1" applyAlignment="1" applyProtection="1">
      <alignment horizontal="right"/>
    </xf>
    <xf numFmtId="0" fontId="21" fillId="6" borderId="40" xfId="0" applyNumberFormat="1" applyFont="1" applyFill="1" applyBorder="1" applyAlignment="1" applyProtection="1">
      <alignment horizontal="right"/>
    </xf>
    <xf numFmtId="3" fontId="7" fillId="0" borderId="7" xfId="4" applyNumberFormat="1" applyFont="1" applyFill="1" applyBorder="1" applyAlignment="1"/>
    <xf numFmtId="3" fontId="7" fillId="0" borderId="2" xfId="4" applyNumberFormat="1" applyFont="1" applyFill="1" applyBorder="1" applyAlignment="1"/>
    <xf numFmtId="3" fontId="8" fillId="0" borderId="2" xfId="4" applyNumberFormat="1" applyFont="1" applyFill="1" applyBorder="1" applyAlignment="1"/>
    <xf numFmtId="0" fontId="43" fillId="8" borderId="43" xfId="12" applyFill="1"/>
    <xf numFmtId="0" fontId="43" fillId="3" borderId="43" xfId="12" applyFill="1"/>
    <xf numFmtId="0" fontId="43" fillId="3" borderId="43" xfId="12" applyFill="1" applyAlignment="1">
      <alignment horizontal="left"/>
    </xf>
    <xf numFmtId="0" fontId="17" fillId="0" borderId="13" xfId="4" applyNumberFormat="1" applyFont="1" applyBorder="1" applyAlignment="1"/>
    <xf numFmtId="0" fontId="17" fillId="0" borderId="11" xfId="4" applyNumberFormat="1" applyFont="1" applyBorder="1" applyAlignment="1"/>
    <xf numFmtId="0" fontId="17" fillId="0" borderId="15" xfId="4" applyNumberFormat="1" applyFont="1" applyBorder="1" applyAlignment="1"/>
    <xf numFmtId="0" fontId="17" fillId="0" borderId="16" xfId="4" applyNumberFormat="1" applyFont="1" applyBorder="1" applyAlignment="1"/>
    <xf numFmtId="3" fontId="17" fillId="0" borderId="36" xfId="4" applyNumberFormat="1" applyFont="1" applyFill="1" applyBorder="1" applyAlignment="1"/>
    <xf numFmtId="0" fontId="6" fillId="0" borderId="0" xfId="0" applyFont="1" applyFill="1" applyBorder="1" applyAlignment="1"/>
    <xf numFmtId="0" fontId="9" fillId="0" borderId="0" xfId="0" applyFont="1" applyFill="1" applyBorder="1" applyAlignment="1"/>
    <xf numFmtId="3" fontId="9" fillId="0" borderId="0" xfId="0" applyNumberFormat="1" applyFont="1" applyFill="1" applyBorder="1" applyAlignment="1"/>
    <xf numFmtId="3" fontId="6" fillId="0" borderId="0" xfId="0" applyNumberFormat="1" applyFont="1" applyFill="1"/>
    <xf numFmtId="0" fontId="21" fillId="0" borderId="0" xfId="4" applyFont="1" applyFill="1" applyBorder="1" applyAlignment="1">
      <alignment wrapText="1"/>
    </xf>
    <xf numFmtId="0" fontId="24" fillId="0" borderId="0" xfId="4" applyFont="1" applyAlignment="1">
      <alignment horizontal="right" wrapText="1"/>
    </xf>
    <xf numFmtId="0" fontId="6" fillId="0" borderId="0" xfId="4" applyFont="1" applyAlignment="1">
      <alignment horizontal="right" wrapText="1"/>
    </xf>
    <xf numFmtId="0" fontId="0" fillId="0" borderId="0" xfId="0" applyAlignment="1">
      <alignment wrapText="1"/>
    </xf>
    <xf numFmtId="0" fontId="44" fillId="0" borderId="0" xfId="2" applyFont="1"/>
    <xf numFmtId="0" fontId="45" fillId="0" borderId="0" xfId="2" applyFont="1"/>
    <xf numFmtId="0" fontId="45" fillId="0" borderId="0" xfId="2" applyFont="1" applyFill="1"/>
    <xf numFmtId="0" fontId="31" fillId="3" borderId="0" xfId="0" applyFont="1" applyFill="1" applyAlignment="1"/>
    <xf numFmtId="0" fontId="31" fillId="0" borderId="0" xfId="0" applyFont="1" applyAlignment="1"/>
    <xf numFmtId="3" fontId="9" fillId="0" borderId="28" xfId="0" applyNumberFormat="1" applyFont="1" applyFill="1" applyBorder="1"/>
    <xf numFmtId="4" fontId="18" fillId="0" borderId="7" xfId="4" applyNumberFormat="1" applyFont="1" applyBorder="1" applyAlignment="1"/>
    <xf numFmtId="4" fontId="17" fillId="0" borderId="7" xfId="4" applyNumberFormat="1" applyFont="1" applyBorder="1" applyAlignment="1"/>
    <xf numFmtId="4" fontId="18" fillId="0" borderId="0" xfId="4" applyNumberFormat="1" applyFont="1" applyBorder="1" applyAlignment="1"/>
    <xf numFmtId="0" fontId="10" fillId="7" borderId="36" xfId="0" applyFont="1" applyFill="1" applyBorder="1" applyAlignment="1">
      <alignment horizontal="left" wrapText="1"/>
    </xf>
    <xf numFmtId="0" fontId="26" fillId="0" borderId="0" xfId="4" applyNumberFormat="1" applyFont="1" applyFill="1" applyBorder="1" applyAlignment="1">
      <alignment wrapText="1"/>
    </xf>
    <xf numFmtId="169" fontId="26" fillId="0" borderId="0" xfId="8" applyNumberFormat="1" applyFont="1" applyFill="1" applyBorder="1"/>
    <xf numFmtId="170" fontId="36" fillId="0" borderId="0" xfId="4" applyNumberFormat="1" applyFont="1" applyFill="1" applyBorder="1" applyAlignment="1"/>
    <xf numFmtId="0" fontId="10" fillId="7" borderId="37" xfId="0" applyFont="1" applyFill="1" applyBorder="1" applyAlignment="1">
      <alignment horizontal="left" wrapText="1"/>
    </xf>
    <xf numFmtId="3" fontId="6" fillId="0" borderId="37" xfId="0" applyNumberFormat="1" applyFont="1" applyBorder="1"/>
    <xf numFmtId="3" fontId="9" fillId="0" borderId="44" xfId="0" applyNumberFormat="1" applyFont="1" applyBorder="1"/>
    <xf numFmtId="170" fontId="21" fillId="0" borderId="0" xfId="4" applyNumberFormat="1" applyFont="1" applyFill="1" applyBorder="1" applyAlignment="1"/>
    <xf numFmtId="170" fontId="22" fillId="0" borderId="0" xfId="4" applyNumberFormat="1" applyFont="1" applyFill="1" applyBorder="1"/>
    <xf numFmtId="170" fontId="17" fillId="0" borderId="0" xfId="8" applyNumberFormat="1" applyFont="1" applyFill="1" applyBorder="1"/>
    <xf numFmtId="170" fontId="17" fillId="0" borderId="0" xfId="4" applyNumberFormat="1" applyFont="1" applyFill="1" applyBorder="1"/>
    <xf numFmtId="170" fontId="24" fillId="0" borderId="0" xfId="4" applyNumberFormat="1" applyFont="1" applyFill="1" applyBorder="1"/>
    <xf numFmtId="0" fontId="18" fillId="0" borderId="18" xfId="4" applyNumberFormat="1" applyFont="1" applyBorder="1" applyAlignment="1"/>
    <xf numFmtId="3" fontId="17" fillId="0" borderId="19" xfId="4" applyNumberFormat="1" applyFont="1" applyBorder="1" applyAlignment="1"/>
    <xf numFmtId="0" fontId="10" fillId="7" borderId="0" xfId="0" applyFont="1" applyFill="1" applyBorder="1" applyAlignment="1">
      <alignment horizontal="left" wrapText="1"/>
    </xf>
    <xf numFmtId="3" fontId="9" fillId="0" borderId="0" xfId="0" applyNumberFormat="1" applyFont="1" applyFill="1" applyBorder="1"/>
    <xf numFmtId="0" fontId="17" fillId="0" borderId="46" xfId="4" applyNumberFormat="1" applyFont="1" applyBorder="1" applyAlignment="1">
      <alignment horizontal="left" wrapText="1"/>
    </xf>
    <xf numFmtId="0" fontId="46" fillId="0" borderId="0" xfId="0" applyFont="1" applyFill="1"/>
    <xf numFmtId="0" fontId="24" fillId="0" borderId="18" xfId="4" applyNumberFormat="1" applyFont="1" applyFill="1" applyBorder="1" applyAlignment="1">
      <alignment wrapText="1"/>
    </xf>
    <xf numFmtId="4" fontId="18" fillId="0" borderId="0" xfId="4" applyNumberFormat="1" applyFont="1" applyFill="1" applyBorder="1"/>
    <xf numFmtId="4" fontId="24" fillId="0" borderId="0" xfId="4" applyNumberFormat="1" applyFont="1" applyFill="1" applyBorder="1"/>
    <xf numFmtId="165" fontId="6" fillId="0" borderId="0" xfId="0" applyNumberFormat="1" applyFont="1" applyFill="1" applyBorder="1" applyAlignment="1"/>
    <xf numFmtId="0" fontId="47" fillId="0" borderId="0" xfId="0" applyFont="1" applyAlignment="1"/>
    <xf numFmtId="3" fontId="49" fillId="0" borderId="37" xfId="4" applyNumberFormat="1" applyFont="1" applyFill="1" applyBorder="1" applyAlignment="1"/>
    <xf numFmtId="3" fontId="49" fillId="0" borderId="47" xfId="4" applyNumberFormat="1" applyFont="1" applyFill="1" applyBorder="1" applyAlignment="1"/>
    <xf numFmtId="0" fontId="10" fillId="4" borderId="2" xfId="0" applyFont="1" applyFill="1" applyBorder="1" applyAlignment="1">
      <alignment horizontal="left" wrapText="1"/>
    </xf>
    <xf numFmtId="0" fontId="14" fillId="0" borderId="0" xfId="4" applyFont="1"/>
    <xf numFmtId="173" fontId="0" fillId="0" borderId="0" xfId="0" applyNumberFormat="1"/>
    <xf numFmtId="165" fontId="0" fillId="0" borderId="0" xfId="0" applyNumberFormat="1"/>
    <xf numFmtId="0" fontId="10" fillId="4" borderId="36" xfId="4" applyNumberFormat="1" applyFont="1" applyFill="1" applyBorder="1" applyAlignment="1">
      <alignment horizontal="left" wrapText="1"/>
    </xf>
    <xf numFmtId="0" fontId="10" fillId="4" borderId="21" xfId="4" applyNumberFormat="1" applyFont="1" applyFill="1" applyBorder="1" applyAlignment="1">
      <alignment horizontal="left" wrapText="1"/>
    </xf>
    <xf numFmtId="165" fontId="7" fillId="0" borderId="3" xfId="5" applyNumberFormat="1" applyFont="1" applyBorder="1" applyAlignment="1"/>
    <xf numFmtId="165" fontId="0" fillId="0" borderId="0" xfId="0" applyNumberFormat="1" applyFont="1"/>
    <xf numFmtId="165" fontId="7" fillId="0" borderId="3" xfId="4" applyNumberFormat="1" applyFont="1" applyBorder="1" applyAlignment="1"/>
    <xf numFmtId="165" fontId="7" fillId="0" borderId="27" xfId="4" applyNumberFormat="1" applyFont="1" applyBorder="1" applyAlignment="1"/>
    <xf numFmtId="165" fontId="31" fillId="0" borderId="0" xfId="0" applyNumberFormat="1" applyFont="1"/>
    <xf numFmtId="0" fontId="3" fillId="10" borderId="1" xfId="3" applyFill="1" applyAlignment="1"/>
    <xf numFmtId="0" fontId="0" fillId="10" borderId="0" xfId="0" applyFill="1" applyAlignment="1">
      <alignment wrapText="1"/>
    </xf>
    <xf numFmtId="0" fontId="3" fillId="3" borderId="1" xfId="3" applyFill="1" applyAlignment="1"/>
    <xf numFmtId="165" fontId="0" fillId="0" borderId="4" xfId="10" applyNumberFormat="1" applyFont="1" applyBorder="1"/>
    <xf numFmtId="165" fontId="31" fillId="0" borderId="48" xfId="10" applyNumberFormat="1" applyFont="1" applyBorder="1"/>
    <xf numFmtId="0" fontId="6" fillId="0" borderId="0" xfId="0" applyFont="1" applyFill="1" applyAlignment="1"/>
    <xf numFmtId="165" fontId="6" fillId="0" borderId="0" xfId="0" applyNumberFormat="1" applyFont="1" applyFill="1" applyAlignment="1"/>
    <xf numFmtId="169" fontId="17" fillId="0" borderId="7" xfId="8" applyNumberFormat="1" applyFont="1" applyFill="1" applyBorder="1"/>
    <xf numFmtId="169" fontId="17" fillId="0" borderId="7" xfId="9" applyNumberFormat="1" applyFont="1" applyFill="1" applyBorder="1"/>
    <xf numFmtId="169" fontId="17" fillId="0" borderId="45" xfId="8" applyNumberFormat="1" applyFont="1" applyFill="1" applyBorder="1"/>
    <xf numFmtId="0" fontId="15" fillId="0" borderId="0" xfId="0" applyFont="1" applyFill="1" applyBorder="1" applyAlignment="1"/>
    <xf numFmtId="170" fontId="20" fillId="0" borderId="2" xfId="9" applyNumberFormat="1" applyFont="1" applyBorder="1"/>
    <xf numFmtId="170" fontId="20" fillId="0" borderId="0" xfId="9" applyNumberFormat="1" applyFont="1" applyFill="1" applyBorder="1"/>
    <xf numFmtId="166" fontId="8" fillId="0" borderId="7" xfId="7" applyNumberFormat="1" applyFont="1" applyBorder="1" applyAlignment="1"/>
    <xf numFmtId="166" fontId="8" fillId="0" borderId="2" xfId="7" applyNumberFormat="1" applyFont="1" applyBorder="1" applyAlignment="1"/>
    <xf numFmtId="0" fontId="10" fillId="4" borderId="30" xfId="0" applyFont="1" applyFill="1" applyBorder="1" applyAlignment="1">
      <alignment horizontal="left" wrapText="1"/>
    </xf>
    <xf numFmtId="0" fontId="10" fillId="4" borderId="50" xfId="0" applyFont="1" applyFill="1" applyBorder="1" applyAlignment="1">
      <alignment horizontal="left" wrapText="1"/>
    </xf>
    <xf numFmtId="0" fontId="10" fillId="4" borderId="34" xfId="0" applyFont="1" applyFill="1" applyBorder="1" applyAlignment="1">
      <alignment horizontal="left" wrapText="1"/>
    </xf>
    <xf numFmtId="166" fontId="8" fillId="0" borderId="52" xfId="7" applyNumberFormat="1" applyFont="1" applyBorder="1" applyAlignment="1"/>
    <xf numFmtId="166" fontId="8" fillId="0" borderId="54" xfId="7" applyNumberFormat="1" applyFont="1" applyBorder="1" applyAlignment="1"/>
    <xf numFmtId="166" fontId="7" fillId="0" borderId="0" xfId="7" applyNumberFormat="1" applyFont="1" applyBorder="1" applyAlignment="1"/>
    <xf numFmtId="166" fontId="8" fillId="0" borderId="56" xfId="7" applyNumberFormat="1" applyFont="1" applyBorder="1" applyAlignment="1"/>
    <xf numFmtId="166" fontId="8" fillId="0" borderId="57" xfId="7" applyNumberFormat="1" applyFont="1" applyBorder="1" applyAlignment="1"/>
    <xf numFmtId="0" fontId="8" fillId="0" borderId="0" xfId="4" applyNumberFormat="1" applyFont="1" applyBorder="1" applyAlignment="1"/>
    <xf numFmtId="2" fontId="7" fillId="0" borderId="0" xfId="0" applyNumberFormat="1" applyFont="1" applyBorder="1"/>
    <xf numFmtId="0" fontId="10" fillId="4" borderId="3" xfId="4" applyNumberFormat="1" applyFont="1" applyFill="1" applyBorder="1" applyAlignment="1">
      <alignment wrapText="1"/>
    </xf>
    <xf numFmtId="0" fontId="10" fillId="4" borderId="2" xfId="4" applyNumberFormat="1" applyFont="1" applyFill="1" applyBorder="1" applyAlignment="1">
      <alignment wrapText="1"/>
    </xf>
    <xf numFmtId="0" fontId="7" fillId="0" borderId="49" xfId="5" applyNumberFormat="1" applyFont="1" applyBorder="1" applyAlignment="1"/>
    <xf numFmtId="0" fontId="7" fillId="0" borderId="21" xfId="4" applyNumberFormat="1" applyFont="1" applyBorder="1" applyAlignment="1"/>
    <xf numFmtId="0" fontId="7" fillId="0" borderId="22" xfId="4" applyNumberFormat="1" applyFont="1" applyBorder="1" applyAlignment="1"/>
    <xf numFmtId="3" fontId="7" fillId="0" borderId="22" xfId="4" applyNumberFormat="1" applyFont="1" applyBorder="1" applyAlignment="1"/>
    <xf numFmtId="166" fontId="6" fillId="0" borderId="23" xfId="0" applyNumberFormat="1" applyFont="1" applyBorder="1"/>
    <xf numFmtId="2" fontId="7" fillId="0" borderId="22" xfId="7" applyNumberFormat="1" applyFont="1" applyBorder="1" applyAlignment="1"/>
    <xf numFmtId="0" fontId="43" fillId="3" borderId="43" xfId="12" applyNumberFormat="1" applyFont="1" applyFill="1" applyAlignment="1"/>
    <xf numFmtId="3" fontId="51" fillId="0" borderId="37" xfId="4" applyNumberFormat="1" applyFont="1" applyFill="1" applyBorder="1" applyAlignment="1"/>
    <xf numFmtId="3" fontId="51" fillId="0" borderId="47" xfId="4" applyNumberFormat="1" applyFont="1" applyFill="1" applyBorder="1" applyAlignment="1"/>
    <xf numFmtId="0" fontId="47" fillId="0" borderId="0" xfId="0" applyFont="1"/>
    <xf numFmtId="3" fontId="6" fillId="0" borderId="4" xfId="0" applyNumberFormat="1" applyFont="1" applyFill="1" applyBorder="1" applyAlignment="1"/>
    <xf numFmtId="3" fontId="6" fillId="0" borderId="2" xfId="0" applyNumberFormat="1" applyFont="1" applyFill="1" applyBorder="1" applyAlignment="1"/>
    <xf numFmtId="0" fontId="48" fillId="0" borderId="3" xfId="0" applyFont="1" applyFill="1" applyBorder="1" applyAlignment="1"/>
    <xf numFmtId="3" fontId="48" fillId="0" borderId="2" xfId="0" applyNumberFormat="1" applyFont="1" applyFill="1" applyBorder="1" applyAlignment="1"/>
    <xf numFmtId="0" fontId="0" fillId="0" borderId="0" xfId="0" applyFont="1" applyFill="1"/>
    <xf numFmtId="3" fontId="50" fillId="0" borderId="2" xfId="0" applyNumberFormat="1" applyFont="1" applyFill="1" applyBorder="1" applyAlignment="1"/>
    <xf numFmtId="0" fontId="50" fillId="0" borderId="3" xfId="0" applyFont="1" applyFill="1" applyBorder="1" applyAlignment="1"/>
    <xf numFmtId="0" fontId="52" fillId="3" borderId="0" xfId="4" applyFont="1" applyFill="1"/>
    <xf numFmtId="0" fontId="7" fillId="3" borderId="0" xfId="4" applyFont="1" applyFill="1"/>
    <xf numFmtId="0" fontId="10" fillId="4" borderId="6" xfId="4" applyNumberFormat="1" applyFont="1" applyFill="1" applyBorder="1" applyAlignment="1">
      <alignment wrapText="1"/>
    </xf>
    <xf numFmtId="0" fontId="7" fillId="0" borderId="0" xfId="2" applyFont="1" applyFill="1" applyAlignment="1">
      <alignment horizontal="left" wrapText="1"/>
    </xf>
    <xf numFmtId="1" fontId="7" fillId="0" borderId="7" xfId="0" applyNumberFormat="1" applyFont="1" applyFill="1" applyBorder="1" applyAlignment="1"/>
    <xf numFmtId="0" fontId="7" fillId="0" borderId="7" xfId="4" applyNumberFormat="1" applyFont="1" applyFill="1" applyBorder="1" applyAlignment="1"/>
    <xf numFmtId="167" fontId="7" fillId="0" borderId="7" xfId="6" applyNumberFormat="1" applyFont="1" applyFill="1" applyBorder="1" applyAlignment="1"/>
    <xf numFmtId="171" fontId="7" fillId="0" borderId="7" xfId="4" applyNumberFormat="1" applyFont="1" applyFill="1" applyBorder="1" applyAlignment="1"/>
    <xf numFmtId="1" fontId="7" fillId="0" borderId="2" xfId="0" applyNumberFormat="1" applyFont="1" applyFill="1" applyBorder="1" applyAlignment="1"/>
    <xf numFmtId="0" fontId="7" fillId="0" borderId="2" xfId="4" applyNumberFormat="1" applyFont="1" applyFill="1" applyBorder="1" applyAlignment="1"/>
    <xf numFmtId="171" fontId="7" fillId="0" borderId="2" xfId="4" applyNumberFormat="1" applyFont="1" applyFill="1" applyBorder="1" applyAlignment="1"/>
    <xf numFmtId="167" fontId="8" fillId="0" borderId="2" xfId="6" applyNumberFormat="1" applyFont="1" applyFill="1" applyBorder="1" applyAlignment="1"/>
    <xf numFmtId="171" fontId="8" fillId="0" borderId="2" xfId="4" applyNumberFormat="1" applyFont="1" applyFill="1" applyBorder="1" applyAlignment="1"/>
    <xf numFmtId="3" fontId="18" fillId="0" borderId="3" xfId="4" applyNumberFormat="1" applyFont="1" applyFill="1" applyBorder="1" applyAlignment="1"/>
    <xf numFmtId="0" fontId="0" fillId="0" borderId="2" xfId="0" applyFont="1" applyBorder="1"/>
    <xf numFmtId="0" fontId="0" fillId="0" borderId="14" xfId="0" applyFont="1" applyBorder="1"/>
    <xf numFmtId="165" fontId="4" fillId="4" borderId="3" xfId="10" applyNumberFormat="1" applyFont="1" applyFill="1" applyBorder="1" applyAlignment="1">
      <alignment horizontal="center"/>
    </xf>
    <xf numFmtId="165" fontId="4" fillId="4" borderId="2" xfId="10" applyNumberFormat="1" applyFont="1" applyFill="1" applyBorder="1" applyAlignment="1">
      <alignment horizontal="center"/>
    </xf>
    <xf numFmtId="165" fontId="31" fillId="0" borderId="5" xfId="10" applyNumberFormat="1" applyFont="1" applyBorder="1" applyAlignment="1"/>
    <xf numFmtId="165" fontId="31" fillId="0" borderId="14" xfId="10" applyNumberFormat="1" applyFont="1" applyBorder="1" applyAlignment="1"/>
    <xf numFmtId="165" fontId="0" fillId="0" borderId="3" xfId="10" applyNumberFormat="1" applyFont="1" applyBorder="1" applyAlignment="1"/>
    <xf numFmtId="165" fontId="0" fillId="0" borderId="2" xfId="10" applyNumberFormat="1" applyFont="1" applyBorder="1" applyAlignment="1"/>
    <xf numFmtId="165" fontId="31" fillId="0" borderId="3" xfId="10" applyNumberFormat="1" applyFont="1" applyBorder="1" applyAlignment="1"/>
    <xf numFmtId="165" fontId="31" fillId="0" borderId="2" xfId="10" applyNumberFormat="1" applyFont="1" applyBorder="1" applyAlignment="1"/>
    <xf numFmtId="165" fontId="4" fillId="4" borderId="4" xfId="10" applyNumberFormat="1" applyFont="1" applyFill="1" applyBorder="1" applyAlignment="1">
      <alignment horizontal="left"/>
    </xf>
    <xf numFmtId="0" fontId="21" fillId="6" borderId="0" xfId="4" applyNumberFormat="1" applyFont="1" applyFill="1" applyBorder="1" applyAlignment="1">
      <alignment horizontal="left" wrapText="1"/>
    </xf>
    <xf numFmtId="0" fontId="21" fillId="6" borderId="0" xfId="4" applyNumberFormat="1" applyFont="1" applyFill="1" applyBorder="1" applyAlignment="1">
      <alignment horizontal="left"/>
    </xf>
    <xf numFmtId="3" fontId="15" fillId="0" borderId="0" xfId="4" applyNumberFormat="1" applyFont="1" applyFill="1"/>
    <xf numFmtId="0" fontId="54" fillId="0" borderId="0" xfId="0" applyFont="1"/>
    <xf numFmtId="10" fontId="0" fillId="0" borderId="0" xfId="9" applyNumberFormat="1" applyFont="1"/>
    <xf numFmtId="173" fontId="0" fillId="0" borderId="0" xfId="10" applyNumberFormat="1" applyFont="1"/>
    <xf numFmtId="165" fontId="0" fillId="0" borderId="0" xfId="10" applyNumberFormat="1" applyFont="1"/>
    <xf numFmtId="174" fontId="0" fillId="0" borderId="0" xfId="0" applyNumberFormat="1"/>
    <xf numFmtId="173" fontId="25" fillId="0" borderId="0" xfId="10" applyNumberFormat="1" applyFont="1"/>
    <xf numFmtId="0" fontId="38" fillId="8" borderId="0" xfId="0" applyFont="1" applyFill="1"/>
    <xf numFmtId="175" fontId="8" fillId="0" borderId="51" xfId="7" applyNumberFormat="1" applyFont="1" applyBorder="1" applyAlignment="1"/>
    <xf numFmtId="175" fontId="8" fillId="0" borderId="53" xfId="7" applyNumberFormat="1" applyFont="1" applyBorder="1" applyAlignment="1"/>
    <xf numFmtId="175" fontId="8" fillId="0" borderId="55" xfId="7" applyNumberFormat="1" applyFont="1" applyBorder="1" applyAlignment="1"/>
    <xf numFmtId="10" fontId="0" fillId="0" borderId="0" xfId="9" applyNumberFormat="1" applyFont="1" applyAlignment="1"/>
    <xf numFmtId="10" fontId="41" fillId="0" borderId="0" xfId="9" applyNumberFormat="1" applyFont="1" applyAlignment="1"/>
    <xf numFmtId="1" fontId="0" fillId="0" borderId="0" xfId="0" applyNumberFormat="1"/>
    <xf numFmtId="10" fontId="0" fillId="0" borderId="0" xfId="0" applyNumberFormat="1"/>
    <xf numFmtId="3" fontId="38" fillId="0" borderId="0" xfId="0" applyNumberFormat="1" applyFont="1"/>
    <xf numFmtId="3" fontId="41" fillId="0" borderId="0" xfId="0" applyNumberFormat="1" applyFont="1" applyFill="1"/>
    <xf numFmtId="165" fontId="0" fillId="0" borderId="0" xfId="10" applyNumberFormat="1" applyFont="1" applyFill="1" applyBorder="1"/>
    <xf numFmtId="165" fontId="31" fillId="0" borderId="0" xfId="10" applyNumberFormat="1" applyFont="1" applyFill="1" applyBorder="1"/>
    <xf numFmtId="10" fontId="0" fillId="0" borderId="0" xfId="9" applyNumberFormat="1" applyFont="1" applyFill="1" applyBorder="1"/>
    <xf numFmtId="3" fontId="7" fillId="0" borderId="0" xfId="4" applyNumberFormat="1" applyFont="1" applyAlignment="1">
      <alignment horizontal="right" vertical="top"/>
    </xf>
    <xf numFmtId="173" fontId="7" fillId="0" borderId="0" xfId="10" applyNumberFormat="1" applyFont="1" applyAlignment="1">
      <alignment horizontal="right" vertical="top"/>
    </xf>
    <xf numFmtId="165" fontId="7" fillId="0" borderId="0" xfId="4" applyNumberFormat="1" applyFont="1"/>
    <xf numFmtId="2" fontId="6" fillId="0" borderId="0" xfId="0" applyNumberFormat="1" applyFont="1"/>
    <xf numFmtId="0" fontId="41" fillId="0" borderId="0" xfId="0" applyFont="1" applyAlignment="1"/>
    <xf numFmtId="0" fontId="10" fillId="2" borderId="0" xfId="0" applyFont="1" applyFill="1" applyAlignment="1"/>
    <xf numFmtId="3" fontId="0" fillId="0" borderId="0" xfId="0" applyNumberFormat="1" applyFill="1" applyAlignment="1"/>
    <xf numFmtId="3" fontId="7" fillId="0" borderId="0" xfId="0" applyNumberFormat="1" applyFont="1" applyFill="1" applyBorder="1" applyAlignment="1"/>
    <xf numFmtId="165" fontId="11" fillId="0" borderId="0" xfId="0" applyNumberFormat="1" applyFont="1" applyFill="1" applyAlignment="1"/>
    <xf numFmtId="165" fontId="7" fillId="0" borderId="0" xfId="0" applyNumberFormat="1" applyFont="1" applyFill="1" applyBorder="1" applyAlignment="1"/>
    <xf numFmtId="0" fontId="7" fillId="0" borderId="0" xfId="0" applyFont="1" applyFill="1" applyAlignment="1"/>
    <xf numFmtId="3" fontId="40" fillId="0" borderId="0" xfId="10" applyNumberFormat="1" applyFont="1" applyFill="1" applyAlignment="1"/>
    <xf numFmtId="1" fontId="30" fillId="0" borderId="0" xfId="0" applyNumberFormat="1" applyFont="1"/>
    <xf numFmtId="0" fontId="6" fillId="0" borderId="0" xfId="4" applyFont="1" applyAlignment="1">
      <alignment wrapText="1"/>
    </xf>
    <xf numFmtId="0" fontId="6" fillId="3" borderId="0" xfId="4" applyNumberFormat="1" applyFont="1" applyFill="1" applyBorder="1" applyAlignment="1"/>
    <xf numFmtId="0" fontId="6" fillId="0" borderId="7" xfId="4" applyNumberFormat="1" applyFont="1" applyFill="1" applyBorder="1" applyAlignment="1"/>
    <xf numFmtId="0" fontId="6" fillId="0" borderId="2" xfId="4" applyNumberFormat="1" applyFont="1" applyFill="1" applyBorder="1" applyAlignment="1"/>
    <xf numFmtId="0" fontId="8" fillId="0" borderId="2" xfId="4" applyNumberFormat="1" applyFont="1" applyFill="1" applyBorder="1" applyAlignment="1"/>
    <xf numFmtId="2" fontId="0" fillId="0" borderId="0" xfId="0" applyNumberFormat="1" applyFill="1" applyAlignment="1"/>
    <xf numFmtId="2" fontId="31" fillId="0" borderId="0" xfId="0" applyNumberFormat="1" applyFont="1" applyFill="1" applyAlignment="1"/>
    <xf numFmtId="0" fontId="0" fillId="0" borderId="0" xfId="0" applyFont="1" applyAlignment="1">
      <alignment wrapText="1"/>
    </xf>
    <xf numFmtId="10" fontId="0" fillId="0" borderId="4" xfId="9" applyNumberFormat="1" applyFont="1" applyFill="1" applyBorder="1"/>
    <xf numFmtId="165" fontId="0" fillId="0" borderId="2" xfId="10" applyNumberFormat="1" applyFont="1" applyFill="1" applyBorder="1"/>
    <xf numFmtId="165" fontId="0" fillId="0" borderId="2" xfId="0" applyNumberFormat="1" applyFont="1" applyFill="1" applyBorder="1"/>
    <xf numFmtId="165" fontId="31" fillId="0" borderId="14" xfId="10" applyNumberFormat="1" applyFont="1" applyFill="1" applyBorder="1"/>
    <xf numFmtId="165" fontId="31" fillId="0" borderId="2" xfId="0" applyNumberFormat="1" applyFont="1" applyFill="1" applyBorder="1"/>
    <xf numFmtId="176" fontId="0" fillId="0" borderId="0" xfId="0" applyNumberFormat="1"/>
    <xf numFmtId="3" fontId="17" fillId="0" borderId="0" xfId="4" applyNumberFormat="1" applyFont="1" applyAlignment="1">
      <alignment wrapText="1"/>
    </xf>
    <xf numFmtId="9" fontId="38" fillId="0" borderId="0" xfId="9" applyFont="1"/>
    <xf numFmtId="173" fontId="9" fillId="0" borderId="36" xfId="10" applyNumberFormat="1" applyFont="1" applyBorder="1"/>
    <xf numFmtId="173" fontId="9" fillId="0" borderId="29" xfId="10" applyNumberFormat="1" applyFont="1" applyBorder="1"/>
    <xf numFmtId="166" fontId="15" fillId="0" borderId="0" xfId="0" applyNumberFormat="1" applyFont="1" applyBorder="1"/>
    <xf numFmtId="165" fontId="31" fillId="3" borderId="0" xfId="0" applyNumberFormat="1" applyFont="1" applyFill="1"/>
    <xf numFmtId="165" fontId="0" fillId="3" borderId="4" xfId="10" applyNumberFormat="1" applyFont="1" applyFill="1" applyBorder="1"/>
    <xf numFmtId="165" fontId="31" fillId="0" borderId="4" xfId="10" applyNumberFormat="1" applyFont="1" applyFill="1" applyBorder="1"/>
    <xf numFmtId="0" fontId="10" fillId="0" borderId="0" xfId="0" applyFont="1" applyFill="1" applyBorder="1" applyAlignment="1">
      <alignment horizontal="left" wrapText="1"/>
    </xf>
    <xf numFmtId="166" fontId="7" fillId="0" borderId="0" xfId="7" applyNumberFormat="1" applyFont="1" applyFill="1" applyBorder="1" applyAlignment="1"/>
    <xf numFmtId="0" fontId="56" fillId="0" borderId="0" xfId="0" applyFont="1"/>
    <xf numFmtId="177" fontId="25" fillId="0" borderId="0" xfId="0" applyNumberFormat="1" applyFont="1"/>
    <xf numFmtId="0" fontId="8" fillId="0" borderId="0" xfId="4" applyFont="1" applyAlignment="1">
      <alignment horizontal="left" vertical="center" wrapText="1"/>
    </xf>
    <xf numFmtId="0" fontId="0" fillId="0" borderId="0" xfId="0" applyFont="1" applyAlignment="1">
      <alignment horizontal="left" wrapText="1"/>
    </xf>
    <xf numFmtId="0" fontId="6" fillId="0" borderId="0" xfId="0" applyFont="1" applyAlignment="1">
      <alignment horizontal="left" wrapText="1"/>
    </xf>
    <xf numFmtId="0" fontId="53" fillId="0" borderId="0" xfId="0" applyFont="1" applyAlignment="1">
      <alignment horizontal="left" wrapText="1"/>
    </xf>
    <xf numFmtId="0" fontId="40" fillId="0" borderId="0" xfId="0" applyFont="1" applyAlignment="1">
      <alignment horizontal="left" wrapText="1"/>
    </xf>
    <xf numFmtId="0" fontId="0" fillId="0" borderId="0" xfId="0" applyAlignment="1">
      <alignment horizontal="left" wrapText="1"/>
    </xf>
    <xf numFmtId="0" fontId="17" fillId="0" borderId="0" xfId="0" applyFont="1" applyFill="1" applyAlignment="1">
      <alignment horizontal="left" wrapText="1"/>
    </xf>
    <xf numFmtId="0" fontId="17" fillId="0" borderId="0" xfId="4" applyFont="1" applyAlignment="1">
      <alignment horizontal="left" wrapText="1"/>
    </xf>
    <xf numFmtId="0" fontId="7" fillId="0" borderId="0" xfId="2" applyFont="1" applyFill="1" applyAlignment="1">
      <alignment horizontal="left" wrapText="1"/>
    </xf>
  </cellXfs>
  <cellStyles count="13">
    <cellStyle name="Erotin 2" xfId="1"/>
    <cellStyle name="Normaali" xfId="0" builtinId="0"/>
    <cellStyle name="Normaali 11" xfId="7"/>
    <cellStyle name="Normaali 2" xfId="4"/>
    <cellStyle name="Normaali 2 2 2" xfId="11"/>
    <cellStyle name="Normaali 5" xfId="6"/>
    <cellStyle name="Normaali 9" xfId="5"/>
    <cellStyle name="Otsikko" xfId="2" builtinId="15"/>
    <cellStyle name="Otsikko 2" xfId="12" builtinId="17"/>
    <cellStyle name="Otsikko 3" xfId="3" builtinId="18"/>
    <cellStyle name="Pilkku" xfId="10" builtinId="3"/>
    <cellStyle name="Prosenttia" xfId="9" builtinId="5"/>
    <cellStyle name="Prosenttia 2" xfId="8"/>
  </cellStyles>
  <dxfs count="175">
    <dxf>
      <font>
        <b val="0"/>
        <i val="0"/>
        <strike val="0"/>
        <condense val="0"/>
        <extend val="0"/>
        <outline val="0"/>
        <shadow val="0"/>
        <u val="none"/>
        <vertAlign val="baseline"/>
        <sz val="11"/>
        <color auto="1"/>
        <name val="Arial"/>
        <scheme val="major"/>
      </font>
      <numFmt numFmtId="168" formatCode="0.0000"/>
      <fill>
        <patternFill patternType="none">
          <fgColor indexed="64"/>
          <bgColor auto="1"/>
        </patternFill>
      </fill>
      <alignment horizontal="general"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auto="1"/>
        <name val="Arial"/>
        <scheme val="major"/>
      </font>
      <fill>
        <patternFill patternType="none">
          <fgColor indexed="64"/>
          <bgColor auto="1"/>
        </patternFill>
      </fill>
      <alignment horizontal="general" vertical="center" textRotation="0" wrapText="0" indent="0" justifyLastLine="0" shrinkToFit="0" readingOrder="0"/>
      <border diagonalUp="0" diagonalDown="0" outline="0">
        <left/>
        <right style="medium">
          <color indexed="64"/>
        </right>
        <top/>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auto="1"/>
        <name val="Arial"/>
        <scheme val="major"/>
      </font>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theme="1"/>
        <name val="Arial"/>
        <scheme val="major"/>
      </font>
      <numFmt numFmtId="168" formatCode="0.0000"/>
      <alignment horizontal="general"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right style="medium">
          <color indexed="64"/>
        </right>
        <top/>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theme="1"/>
        <name val="Arial"/>
        <scheme val="major"/>
      </font>
    </dxf>
    <dxf>
      <border outline="0">
        <bottom style="medium">
          <color indexed="64"/>
        </bottom>
      </border>
    </dxf>
    <dxf>
      <font>
        <b/>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auto="1"/>
        <name val="Arial"/>
        <scheme val="major"/>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71" formatCode="#,##0.00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67" formatCode="0.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0" formatCode="General"/>
      <fill>
        <patternFill patternType="solid">
          <fgColor theme="4"/>
          <bgColor theme="4"/>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0" formatCode="General"/>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0" formatCode="General"/>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67" formatCode="0.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0" formatCode="General"/>
      <fill>
        <patternFill patternType="solid">
          <fgColor theme="4"/>
          <bgColor theme="4"/>
        </patternFill>
      </fill>
      <alignment horizontal="center" vertical="bottom" textRotation="0" wrapText="0" indent="0" justifyLastLine="0" shrinkToFit="0" readingOrder="0"/>
    </dxf>
    <dxf>
      <font>
        <b/>
        <i val="0"/>
        <strike val="0"/>
        <condense val="0"/>
        <extend val="0"/>
        <outline val="0"/>
        <shadow val="0"/>
        <u val="none"/>
        <vertAlign val="baseline"/>
        <sz val="12"/>
        <color theme="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2"/>
        <color theme="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2"/>
        <color theme="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2"/>
        <color theme="1"/>
        <name val="Arial"/>
        <scheme val="major"/>
      </font>
      <numFmt numFmtId="3" formatCode="#,##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theme="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theme="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border outline="0">
        <left style="thin">
          <color theme="4"/>
        </left>
        <right style="thin">
          <color theme="4"/>
        </right>
        <top style="thin">
          <color theme="4"/>
        </top>
      </border>
    </dxf>
    <dxf>
      <font>
        <b val="0"/>
        <i val="0"/>
        <strike val="0"/>
        <condense val="0"/>
        <extend val="0"/>
        <outline val="0"/>
        <shadow val="0"/>
        <u val="none"/>
        <vertAlign val="baseline"/>
        <sz val="12"/>
        <color theme="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2"/>
        <color theme="0"/>
        <name val="Arial"/>
        <scheme val="major"/>
      </font>
      <numFmt numFmtId="0" formatCode="General"/>
      <fill>
        <patternFill patternType="solid">
          <fgColor theme="4"/>
          <bgColor theme="4"/>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style="thin">
          <color indexed="64"/>
        </right>
        <top style="thin">
          <color theme="8"/>
        </top>
        <bottom style="thin">
          <color theme="8"/>
        </bottom>
      </border>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style="thin">
          <color indexed="64"/>
        </right>
        <top style="thin">
          <color theme="8"/>
        </top>
        <bottom/>
      </border>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style="thin">
          <color indexed="64"/>
        </right>
        <top style="thin">
          <color theme="8"/>
        </top>
        <bottom/>
      </border>
    </dxf>
    <dxf>
      <border outline="0">
        <left style="thin">
          <color theme="8"/>
        </left>
        <right style="thin">
          <color theme="8"/>
        </right>
        <top style="thin">
          <color theme="8"/>
        </top>
        <bottom style="thin">
          <color theme="8"/>
        </bottom>
      </border>
    </dxf>
    <dxf>
      <font>
        <b/>
        <i val="0"/>
        <strike val="0"/>
        <condense val="0"/>
        <extend val="0"/>
        <outline val="0"/>
        <shadow val="0"/>
        <u val="none"/>
        <vertAlign val="baseline"/>
        <sz val="12"/>
        <color theme="0"/>
        <name val="Arial"/>
        <scheme val="major"/>
      </font>
      <alignment horizontal="general" vertical="bottom" textRotation="0" wrapText="0" indent="0" justifyLastLine="0" shrinkToFit="0" readingOrder="0"/>
    </dxf>
    <dxf>
      <font>
        <strike val="0"/>
        <outline val="0"/>
        <shadow val="0"/>
        <u val="none"/>
        <vertAlign val="baseline"/>
        <sz val="12"/>
        <color theme="0"/>
        <name val="Arial"/>
        <scheme val="major"/>
      </font>
      <alignment horizontal="right" vertical="bottom" textRotation="0" indent="0" justifyLastLine="0" shrinkToFit="0" readingOrder="0"/>
    </dxf>
    <dxf>
      <font>
        <b/>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i val="0"/>
        <strike val="0"/>
        <condense val="0"/>
        <extend val="0"/>
        <outline val="0"/>
        <shadow val="0"/>
        <u val="none"/>
        <vertAlign val="baseline"/>
        <sz val="12"/>
        <color theme="0"/>
        <name val="Arial"/>
        <scheme val="major"/>
      </font>
      <fill>
        <patternFill patternType="none">
          <fgColor indexed="64"/>
          <bgColor indexed="65"/>
        </patternFill>
      </fill>
      <alignment vertical="bottom" textRotation="0" wrapText="1" indent="0" justifyLastLine="0" shrinkToFit="0" readingOrder="0"/>
    </dxf>
    <dxf>
      <font>
        <b val="0"/>
        <i val="0"/>
        <strike val="0"/>
        <condense val="0"/>
        <extend val="0"/>
        <outline val="0"/>
        <shadow val="0"/>
        <u val="none"/>
        <vertAlign val="baseline"/>
        <sz val="12"/>
        <color theme="1"/>
        <name val="Arial"/>
        <scheme val="major"/>
      </font>
      <numFmt numFmtId="2" formatCode="0.0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166" formatCode="0.000"/>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strike val="0"/>
        <outline val="0"/>
        <shadow val="0"/>
        <u val="none"/>
        <vertAlign val="baseline"/>
        <sz val="12"/>
        <name val="Arial"/>
        <scheme val="major"/>
      </font>
    </dxf>
    <dxf>
      <border outline="0">
        <bottom style="thin">
          <color indexed="64"/>
        </bottom>
      </border>
    </dxf>
    <dxf>
      <font>
        <b/>
        <i val="0"/>
        <strike val="0"/>
        <condense val="0"/>
        <extend val="0"/>
        <outline val="0"/>
        <shadow val="0"/>
        <u val="none"/>
        <vertAlign val="baseline"/>
        <sz val="12"/>
        <color theme="0"/>
        <name val="Arial"/>
        <scheme val="major"/>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numFmt numFmtId="0" formatCode="General"/>
    </dxf>
    <dxf>
      <font>
        <b/>
        <i val="0"/>
        <strike val="0"/>
        <condense val="0"/>
        <extend val="0"/>
        <outline val="0"/>
        <shadow val="0"/>
        <u val="none"/>
        <vertAlign val="baseline"/>
        <sz val="12"/>
        <color theme="0"/>
        <name val="Arial"/>
        <scheme val="major"/>
      </font>
      <numFmt numFmtId="0" formatCode="General"/>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style="thin">
          <color theme="9"/>
        </right>
        <top style="thin">
          <color theme="9"/>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9"/>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style="thin">
          <color theme="9"/>
        </left>
        <right/>
        <top style="thin">
          <color theme="9"/>
        </top>
        <bottom/>
        <vertical/>
        <horizontal/>
      </border>
    </dxf>
    <dxf>
      <border outline="0">
        <top style="thin">
          <color theme="8"/>
        </top>
        <bottom style="thin">
          <color theme="9"/>
        </bottom>
      </border>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8"/>
        </top>
        <bottom/>
      </border>
    </dxf>
    <dxf>
      <border outline="0">
        <left style="thin">
          <color theme="8"/>
        </left>
        <right style="thin">
          <color theme="8"/>
        </right>
        <top style="thin">
          <color theme="8"/>
        </top>
        <bottom style="thin">
          <color theme="8"/>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dxf>
    <dxf>
      <font>
        <b/>
        <i val="0"/>
        <strike val="0"/>
        <condense val="0"/>
        <extend val="0"/>
        <outline val="0"/>
        <shadow val="0"/>
        <u val="none"/>
        <vertAlign val="baseline"/>
        <sz val="12"/>
        <color theme="0"/>
        <name val="Arial"/>
        <scheme val="major"/>
      </font>
      <numFmt numFmtId="0" formatCode="General"/>
      <fill>
        <patternFill patternType="solid">
          <fgColor theme="8"/>
          <bgColor theme="8"/>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166" formatCode="0.00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166" formatCode="0.00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style="thin">
          <color theme="8"/>
        </left>
        <right/>
        <top style="thin">
          <color theme="8"/>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border outline="0">
        <left style="thin">
          <color theme="4"/>
        </left>
        <right style="thin">
          <color theme="8"/>
        </right>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dxf>
    <dxf>
      <font>
        <b/>
        <i val="0"/>
        <strike val="0"/>
        <condense val="0"/>
        <extend val="0"/>
        <outline val="0"/>
        <shadow val="0"/>
        <u val="none"/>
        <vertAlign val="baseline"/>
        <sz val="12"/>
        <color theme="0"/>
        <name val="Arial"/>
        <scheme val="major"/>
      </font>
      <numFmt numFmtId="0" formatCode="General"/>
      <fill>
        <patternFill patternType="solid">
          <fgColor indexed="64"/>
          <bgColor theme="8"/>
        </patternFill>
      </fill>
      <alignment horizontal="left" vertical="bottom" textRotation="0" wrapText="1" indent="0" justifyLastLine="0" shrinkToFit="0" readingOrder="0"/>
    </dxf>
    <dxf>
      <numFmt numFmtId="165" formatCode="#,##0_ ;[Red]\-#,##0\ "/>
    </dxf>
    <dxf>
      <numFmt numFmtId="165" formatCode="#,##0_ ;[Red]\-#,##0\ "/>
    </dxf>
    <dxf>
      <numFmt numFmtId="165" formatCode="#,##0_ ;[Red]\-#,##0\ "/>
      <fill>
        <patternFill patternType="none">
          <fgColor indexed="64"/>
          <bgColor auto="1"/>
        </patternFill>
      </fill>
      <border diagonalUp="0" diagonalDown="0" outline="0">
        <left/>
        <right/>
        <top style="thin">
          <color theme="4"/>
        </top>
        <bottom/>
      </border>
    </dxf>
    <dxf>
      <numFmt numFmtId="165" formatCode="#,##0_ ;[Red]\-#,##0\ "/>
      <fill>
        <patternFill patternType="none">
          <fgColor indexed="64"/>
          <bgColor auto="1"/>
        </patternFill>
      </fill>
      <border diagonalUp="0" diagonalDown="0" outline="0">
        <left/>
        <right/>
        <top style="thin">
          <color theme="4"/>
        </top>
        <bottom/>
      </border>
    </dxf>
    <dxf>
      <numFmt numFmtId="165" formatCode="#,##0_ ;[Red]\-#,##0\ "/>
      <fill>
        <patternFill patternType="none">
          <fgColor indexed="64"/>
          <bgColor auto="1"/>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auto="1"/>
        <name val="Arial"/>
        <scheme val="major"/>
      </font>
      <numFmt numFmtId="165" formatCode="#,##0_ ;[Red]\-#,##0\ "/>
      <alignment horizontal="general" vertical="bottom" textRotation="0" wrapText="0" indent="0" justifyLastLine="0" shrinkToFit="0" readingOrder="0"/>
      <border diagonalUp="0" diagonalDown="0">
        <left style="thin">
          <color theme="4"/>
        </left>
        <right/>
        <top style="thin">
          <color theme="4"/>
        </top>
        <bottom/>
        <vertical/>
        <horizontal/>
      </border>
    </dxf>
    <dxf>
      <numFmt numFmtId="165" formatCode="#,##0_ ;[Red]\-#,##0\ "/>
    </dxf>
    <dxf>
      <font>
        <b/>
        <i val="0"/>
        <strike val="0"/>
        <condense val="0"/>
        <extend val="0"/>
        <outline val="0"/>
        <shadow val="0"/>
        <u val="none"/>
        <vertAlign val="baseline"/>
        <sz val="11"/>
        <color theme="0"/>
        <name val="Arial"/>
        <scheme val="major"/>
      </font>
      <fill>
        <patternFill patternType="solid">
          <fgColor indexed="64"/>
          <bgColor theme="4"/>
        </patternFill>
      </fill>
      <alignment horizontal="left" vertical="bottom" textRotation="0" wrapText="1" indent="0" justifyLastLine="0" shrinkToFit="0" readingOrder="0"/>
    </dxf>
    <dxf>
      <fill>
        <patternFill patternType="none">
          <fgColor indexed="64"/>
          <bgColor auto="1"/>
        </patternFill>
      </fil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ajor"/>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Arial"/>
        <scheme val="major"/>
      </font>
      <fill>
        <patternFill patternType="none">
          <fgColor indexed="64"/>
          <bgColor auto="1"/>
        </patternFill>
      </fill>
      <alignment horizontal="general" vertical="bottom" textRotation="0" wrapText="0" indent="0" justifyLastLine="0" shrinkToFit="0" readingOrder="0"/>
      <border diagonalUp="0" diagonalDown="0" outline="0">
        <left style="thin">
          <color theme="4"/>
        </left>
        <right/>
        <top style="thin">
          <color theme="4"/>
        </top>
        <bottom/>
      </border>
    </dxf>
    <dxf>
      <font>
        <outline val="0"/>
        <shadow val="0"/>
        <vertAlign val="baseline"/>
        <sz val="11"/>
        <name val="Arial"/>
      </font>
      <fill>
        <patternFill patternType="none">
          <fgColor indexed="64"/>
          <bgColor auto="1"/>
        </patternFill>
      </fill>
    </dxf>
    <dxf>
      <font>
        <outline val="0"/>
        <shadow val="0"/>
        <vertAlign val="baseline"/>
        <sz val="11"/>
        <name val="Arial"/>
      </font>
    </dxf>
    <dxf>
      <font>
        <strike val="0"/>
        <outline val="0"/>
        <shadow val="0"/>
        <vertAlign val="baseline"/>
        <sz val="11"/>
        <color theme="1"/>
        <name val="Arial"/>
        <scheme val="major"/>
      </font>
      <alignment vertical="bottom" textRotation="0" wrapText="0" indent="0" justifyLastLine="0" shrinkToFit="0" readingOrder="0"/>
    </dxf>
    <dxf>
      <font>
        <strike val="0"/>
        <outline val="0"/>
        <shadow val="0"/>
        <vertAlign val="baseline"/>
        <sz val="11"/>
        <color theme="1"/>
        <name val="Arial"/>
        <scheme val="major"/>
      </font>
      <alignment vertical="bottom" textRotation="0" wrapText="0" indent="0" justifyLastLine="0" shrinkToFit="0" readingOrder="0"/>
    </dxf>
    <dxf>
      <font>
        <strike val="0"/>
        <outline val="0"/>
        <shadow val="0"/>
        <vertAlign val="baseline"/>
        <sz val="11"/>
        <color theme="1"/>
        <name val="Arial"/>
        <scheme val="major"/>
      </font>
      <alignment vertical="bottom" textRotation="0" wrapText="0" indent="0" justifyLastLine="0" shrinkToFit="0" readingOrder="0"/>
    </dxf>
    <dxf>
      <font>
        <strike val="0"/>
        <outline val="0"/>
        <shadow val="0"/>
        <vertAlign val="baseline"/>
        <sz val="11"/>
        <name val="Arial"/>
        <scheme val="major"/>
      </font>
      <alignment vertical="bottom" textRotation="0" wrapText="0" indent="0" justifyLastLine="0" shrinkToFit="0" readingOrder="0"/>
    </dxf>
    <dxf>
      <font>
        <b/>
        <i val="0"/>
        <strike val="0"/>
        <condense val="0"/>
        <extend val="0"/>
        <outline val="0"/>
        <shadow val="0"/>
        <u val="none"/>
        <vertAlign val="baseline"/>
        <sz val="10"/>
        <color theme="1"/>
        <name val="Arial Narrow"/>
        <scheme val="major"/>
      </font>
      <numFmt numFmtId="3" formatCode="#,##0"/>
      <fill>
        <patternFill patternType="solid">
          <fgColor indexed="64"/>
          <bgColor theme="6" tint="0.79998168889431442"/>
        </patternFill>
      </fill>
      <border diagonalUp="0" diagonalDown="0">
        <left/>
        <right style="thin">
          <color theme="9"/>
        </right>
        <top style="thin">
          <color theme="9"/>
        </top>
        <bottom/>
        <vertical/>
        <horizontal/>
      </border>
    </dxf>
    <dxf>
      <font>
        <strike val="0"/>
        <outline val="0"/>
        <shadow val="0"/>
        <u val="none"/>
        <vertAlign val="baseline"/>
        <sz val="11"/>
      </font>
    </dxf>
    <dxf>
      <font>
        <b/>
        <i val="0"/>
        <strike val="0"/>
        <condense val="0"/>
        <extend val="0"/>
        <outline val="0"/>
        <shadow val="0"/>
        <u val="none"/>
        <vertAlign val="baseline"/>
        <sz val="10"/>
        <color rgb="FFFF0000"/>
        <name val="Arial Narrow"/>
        <scheme val="major"/>
      </font>
      <numFmt numFmtId="1" formatCode="0"/>
      <fill>
        <patternFill patternType="solid">
          <fgColor indexed="64"/>
          <bgColor theme="6" tint="0.79998168889431442"/>
        </patternFill>
      </fill>
      <border diagonalUp="0" diagonalDown="0">
        <left/>
        <right/>
        <top style="thin">
          <color theme="9"/>
        </top>
        <bottom/>
        <vertical/>
        <horizontal/>
      </border>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i val="0"/>
        <strike val="0"/>
        <condense val="0"/>
        <extend val="0"/>
        <outline val="0"/>
        <shadow val="0"/>
        <u val="none"/>
        <vertAlign val="baseline"/>
        <sz val="11"/>
        <color theme="1"/>
        <name val="Arial Narrow"/>
        <scheme val="major"/>
      </font>
      <numFmt numFmtId="3" formatCode="#,##0"/>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i val="0"/>
        <strike val="0"/>
        <condense val="0"/>
        <extend val="0"/>
        <outline val="0"/>
        <shadow val="0"/>
        <u val="none"/>
        <vertAlign val="baseline"/>
        <sz val="11"/>
        <color theme="1"/>
        <name val="Arial Narrow"/>
        <scheme val="major"/>
      </font>
      <numFmt numFmtId="165" formatCode="#,##0_ ;[Red]\-#,##0\ "/>
      <fill>
        <patternFill patternType="solid">
          <fgColor indexed="64"/>
          <bgColor theme="6" tint="0.79998168889431442"/>
        </patternFill>
      </fill>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major"/>
      </font>
      <numFmt numFmtId="3" formatCode="#,##0"/>
    </dxf>
    <dxf>
      <font>
        <b val="0"/>
        <i val="0"/>
        <strike val="0"/>
        <condense val="0"/>
        <extend val="0"/>
        <outline val="0"/>
        <shadow val="0"/>
        <u val="none"/>
        <vertAlign val="baseline"/>
        <sz val="11"/>
        <color auto="1"/>
        <name val="Arial"/>
        <scheme val="major"/>
      </font>
      <numFmt numFmtId="169" formatCode="0.000\ %"/>
      <fill>
        <patternFill patternType="solid">
          <fgColor indexed="64"/>
          <bgColor theme="3"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0000"/>
        <name val="Arial Narrow"/>
        <scheme val="major"/>
      </font>
      <numFmt numFmtId="3" formatCode="#,##0"/>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ajor"/>
      </font>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style="thin">
          <color theme="4"/>
        </left>
        <right/>
        <top style="thin">
          <color theme="4"/>
        </top>
        <bottom/>
      </border>
    </dxf>
    <dxf>
      <font>
        <b/>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val="0"/>
        <i val="0"/>
        <strike val="0"/>
        <condense val="0"/>
        <extend val="0"/>
        <outline val="0"/>
        <shadow val="0"/>
        <u val="none"/>
        <vertAlign val="baseline"/>
        <sz val="11"/>
        <color theme="1"/>
        <name val="Arial"/>
        <scheme val="major"/>
      </font>
    </dxf>
    <dxf>
      <font>
        <strike val="0"/>
        <outline val="0"/>
        <shadow val="0"/>
        <u val="none"/>
        <vertAlign val="baseline"/>
        <sz val="11"/>
      </font>
    </dxf>
  </dxfs>
  <tableStyles count="0" defaultTableStyle="TableStyleMedium2" defaultPivotStyle="PivotStyleLight16"/>
  <colors>
    <mruColors>
      <color rgb="FF83918F"/>
      <color rgb="FF9DA8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id="9" name="Taulukko9" displayName="Taulukko9" ref="A6:I29" headerRowCount="0" totalsRowShown="0" headerRowDxfId="174" dataDxfId="173">
  <tableColumns count="9">
    <tableColumn id="1" name="Yhteenveto hyvinvointialuiden rahoituksesta vuodelle 2024 (vuoden 2023 tasossa)" headerRowDxfId="172" dataDxfId="171" headerRowCellStyle="Normaali 2" dataCellStyle="Normaali 2"/>
    <tableColumn id="2" name=" " headerRowDxfId="170" dataDxfId="169" headerRowCellStyle="Normaali 2" dataCellStyle="Normaali 2"/>
    <tableColumn id="3" name="Sarake1" headerRowDxfId="168" dataDxfId="167" headerRowCellStyle="Normaali 2"/>
    <tableColumn id="4" name="Sarake3" headerRowDxfId="166" dataDxfId="165" headerRowCellStyle="Normaali 2"/>
    <tableColumn id="5" name="Sarake4" headerRowDxfId="164" dataDxfId="163" headerRowCellStyle="Normaali 2"/>
    <tableColumn id="6" name="Sarake5" headerRowDxfId="162" dataDxfId="161" headerRowCellStyle="Normaali 2"/>
    <tableColumn id="8" name="Sarake7" headerRowDxfId="160" dataDxfId="159" headerRowCellStyle="Normaali 2"/>
    <tableColumn id="9" name="Sarake8" headerRowDxfId="158" dataDxfId="157" headerRowCellStyle="Normaali 2" dataCellStyle="Pilkku"/>
    <tableColumn id="10" name="Sarake2" headerRowDxfId="156" dataDxfId="155"/>
  </tableColumns>
  <tableStyleInfo name="TableStyleLight14" showFirstColumn="0" showLastColumn="0" showRowStripes="1" showColumnStripes="0"/>
</table>
</file>

<file path=xl/tables/table10.xml><?xml version="1.0" encoding="utf-8"?>
<table xmlns="http://schemas.openxmlformats.org/spreadsheetml/2006/main" id="10" name="Taulukko26" displayName="Taulukko26" ref="A10:E13" totalsRowShown="0" headerRowDxfId="78" dataDxfId="77" headerRowCellStyle="Normaali 2">
  <tableColumns count="5">
    <tableColumn id="1" name="Kriteeri" dataDxfId="76"/>
    <tableColumn id="2" name="Asukasperusteisuus" dataDxfId="75"/>
    <tableColumn id="3" name="Asukastiheys" dataDxfId="74"/>
    <tableColumn id="4" name="Riskitekijät" dataDxfId="73"/>
    <tableColumn id="5" name="Yhteensä" dataDxfId="72"/>
  </tableColumns>
  <tableStyleInfo name="TableStyleLight9" showFirstColumn="0" showLastColumn="0" showRowStripes="1" showColumnStripes="0"/>
</table>
</file>

<file path=xl/tables/table11.xml><?xml version="1.0" encoding="utf-8"?>
<table xmlns="http://schemas.openxmlformats.org/spreadsheetml/2006/main" id="11" name="Taulukko27" displayName="Taulukko27" ref="A16:E39" totalsRowShown="0" headerRowDxfId="71" dataDxfId="69" headerRowBorderDxfId="70" headerRowCellStyle="Normaali 2">
  <tableColumns count="5">
    <tableColumn id="1" name="Hyvinvointialuekoodi" dataDxfId="68" dataCellStyle="Normaali 2"/>
    <tableColumn id="2" name="Hyvinvointialue" dataDxfId="67" dataCellStyle="Normaali 2"/>
    <tableColumn id="3" name="Asukasluku" dataDxfId="66" dataCellStyle="Normaali 2">
      <calculatedColumnFormula>Määräytymistekijät!C8</calculatedColumnFormula>
    </tableColumn>
    <tableColumn id="4" name="Asukastiheyskerroin" dataDxfId="65" dataCellStyle="Normaali 2">
      <calculatedColumnFormula>Määräytymistekijät!F35</calculatedColumnFormula>
    </tableColumn>
    <tableColumn id="5" name="Riskikerroin" dataDxfId="64" dataCellStyle="Normaali 2">
      <calculatedColumnFormula>Määräytymistekijät!M35</calculatedColumnFormula>
    </tableColumn>
  </tableColumns>
  <tableStyleInfo name="TableStyleLight9" showFirstColumn="0" showLastColumn="0" showRowStripes="1" showColumnStripes="0"/>
</table>
</file>

<file path=xl/tables/table12.xml><?xml version="1.0" encoding="utf-8"?>
<table xmlns="http://schemas.openxmlformats.org/spreadsheetml/2006/main" id="13" name="Taulukko29" displayName="Taulukko29" ref="A69:F93" totalsRowShown="0" headerRowDxfId="63" dataDxfId="62" headerRowCellStyle="Normaali 2" dataCellStyle="Normaali 2">
  <tableColumns count="6">
    <tableColumn id="1" name="Hyvinvointialuekoodi" dataDxfId="61" dataCellStyle="Normaali 2"/>
    <tableColumn id="2" name="Hyvinvointialue" dataDxfId="60" dataCellStyle="Normaali 2"/>
    <tableColumn id="3" name="Asukasperusteisuus" dataDxfId="59" dataCellStyle="Normaali 2"/>
    <tableColumn id="4" name="Asukastiheys" dataDxfId="58" dataCellStyle="Normaali 2"/>
    <tableColumn id="5" name="Riskitekijät" dataDxfId="57" dataCellStyle="Normaali 2"/>
    <tableColumn id="6" name="Yhteensä, e/as." dataDxfId="56" dataCellStyle="Normaali 2"/>
  </tableColumns>
  <tableStyleInfo name="TableStyleLight9" showFirstColumn="0" showLastColumn="0" showRowStripes="1" showColumnStripes="0"/>
</table>
</file>

<file path=xl/tables/table13.xml><?xml version="1.0" encoding="utf-8"?>
<table xmlns="http://schemas.openxmlformats.org/spreadsheetml/2006/main" id="35" name="Taulukko25" displayName="Taulukko25" ref="A6:C7" totalsRowShown="0" headerRowDxfId="55" dataDxfId="54" tableBorderDxfId="53" dataCellStyle="Normaali 2">
  <tableColumns count="3">
    <tableColumn id="1" name="Rahoitus vuonna 2025" dataDxfId="52" dataCellStyle="Normaali 2">
      <calculatedColumnFormula>'Rahoituksen taso 2025'!B24</calculatedColumnFormula>
    </tableColumn>
    <tableColumn id="2" name="Asukasluku" dataDxfId="51" dataCellStyle="Normaali 2">
      <calculatedColumnFormula>Määräytymistekijät!C30</calculatedColumnFormula>
    </tableColumn>
    <tableColumn id="3" name="Rahoitus euroa/asukas" dataDxfId="50" dataCellStyle="Normaali 2">
      <calculatedColumnFormula>A7/B7</calculatedColumnFormula>
    </tableColumn>
  </tableColumns>
  <tableStyleInfo name="TableStyleLight9" showFirstColumn="0" showLastColumn="0" showRowStripes="1" showColumnStripes="0"/>
</table>
</file>

<file path=xl/tables/table14.xml><?xml version="1.0" encoding="utf-8"?>
<table xmlns="http://schemas.openxmlformats.org/spreadsheetml/2006/main" id="16" name="Taulukko17" displayName="Taulukko17" ref="A42:F66" totalsRowShown="0" headerRowDxfId="49" dataDxfId="48" tableBorderDxfId="47" headerRowCellStyle="Normaali 2" dataCellStyle="Normaali 2">
  <autoFilter ref="A42:F66">
    <filterColumn colId="0" hiddenButton="1"/>
    <filterColumn colId="1" hiddenButton="1"/>
    <filterColumn colId="2" hiddenButton="1"/>
    <filterColumn colId="3" hiddenButton="1"/>
    <filterColumn colId="4" hiddenButton="1"/>
    <filterColumn colId="5" hiddenButton="1"/>
  </autoFilter>
  <tableColumns count="6">
    <tableColumn id="1" name="Hyvinvointialuekoodi" dataDxfId="46" dataCellStyle="Normaali 2"/>
    <tableColumn id="2" name="Hyvinvointialue" dataDxfId="45" dataCellStyle="Normaali 2"/>
    <tableColumn id="3" name="Asukasperusteisuus" dataDxfId="44" dataCellStyle="Normaali 2"/>
    <tableColumn id="4" name="Asukastiheys" dataDxfId="43" dataCellStyle="Normaali 2"/>
    <tableColumn id="5" name="Riskitekijät" dataDxfId="42" dataCellStyle="Normaali 2"/>
    <tableColumn id="6" name="Yhteensä, euroa" dataDxfId="41" dataCellStyle="Normaali 2">
      <calculatedColumnFormula>SUM(C43:E43)</calculatedColumnFormula>
    </tableColumn>
  </tableColumns>
  <tableStyleInfo name="TableStyleLight9" showFirstColumn="0" showLastColumn="0" showRowStripes="1" showColumnStripes="0"/>
</table>
</file>

<file path=xl/tables/table15.xml><?xml version="1.0" encoding="utf-8"?>
<table xmlns="http://schemas.openxmlformats.org/spreadsheetml/2006/main" id="6" name="Taulukko8" displayName="Taulukko8" ref="A34:M57" totalsRowShown="0" headerRowDxfId="40" dataDxfId="39" tableBorderDxfId="38" headerRowCellStyle="Normaali 2" dataCellStyle="Normaali 2">
  <autoFilter ref="A34:M5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Hyvinvointialuekoodi" dataDxfId="37" dataCellStyle="Normaali 2"/>
    <tableColumn id="2" name="Hyvinvointialue" dataDxfId="36" dataCellStyle="Normaali 2"/>
    <tableColumn id="3" name="Asukasluku" dataDxfId="35" dataCellStyle="Normaali 2">
      <calculatedColumnFormula>C8</calculatedColumnFormula>
    </tableColumn>
    <tableColumn id="4" name="Kokonaispinta-ala, km2" dataDxfId="34" dataCellStyle="Normaali 2"/>
    <tableColumn id="5" name="Asukastiheys" dataDxfId="33" dataCellStyle="Normaali 2">
      <calculatedColumnFormula>C35/D35</calculatedColumnFormula>
    </tableColumn>
    <tableColumn id="6" name="Asukastiheyskerroin" dataDxfId="32" dataCellStyle="Normaali 2">
      <calculatedColumnFormula>$E$57/E35</calculatedColumnFormula>
    </tableColumn>
    <tableColumn id="7" name="RL I (2022)" dataDxfId="31" dataCellStyle="Normaali 2"/>
    <tableColumn id="8" name="RL II (2022)" dataDxfId="30" dataCellStyle="Normaali 2"/>
    <tableColumn id="9" name="RL III (2023)" dataDxfId="29" dataCellStyle="Normaali 2"/>
    <tableColumn id="10" name="RLIV (2023)" dataDxfId="28" dataCellStyle="Normaali 2"/>
    <tableColumn id="11" name="Yhteensä RL I-IV " dataDxfId="27" dataCellStyle="Normaali 2"/>
    <tableColumn id="12" name="Painotettu summa" dataDxfId="26" dataCellStyle="Normaali 2">
      <calculatedColumnFormula>K35/C35</calculatedColumnFormula>
    </tableColumn>
    <tableColumn id="13" name="Riskikerroin" dataDxfId="25" dataCellStyle="Normaali 2">
      <calculatedColumnFormula>L35/$L$57</calculatedColumnFormula>
    </tableColumn>
  </tableColumns>
  <tableStyleInfo name="TableStyleLight9" showFirstColumn="0" showLastColumn="0" showRowStripes="1" showColumnStripes="0"/>
</table>
</file>

<file path=xl/tables/table16.xml><?xml version="1.0" encoding="utf-8"?>
<table xmlns="http://schemas.openxmlformats.org/spreadsheetml/2006/main" id="8" name="Taulukko10" displayName="Taulukko10" ref="A7:J30" totalsRowShown="0" headerRowDxfId="24" dataDxfId="23" tableBorderDxfId="22" headerRowCellStyle="Normaali 2" dataCellStyle="Normaali 2">
  <autoFilter ref="A7:J3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Hyvinvointialuekoodi" dataDxfId="21" dataCellStyle="Normaali 2"/>
    <tableColumn id="2" name="Hyvinvointialue" dataDxfId="20" dataCellStyle="Normaali 2"/>
    <tableColumn id="3" name="Asukasluku" dataDxfId="19" dataCellStyle="Normaali 2"/>
    <tableColumn id="4" name="Ruotsinkielisten määrä kaksikielisillä hyvinvointialueilla" dataDxfId="18"/>
    <tableColumn id="5" name="Saamenkielisten määrä hyvinvointialueella, jolla sijaitsee saamelaisten kotiseutualueen kunnat" dataDxfId="17" dataCellStyle="Normaali 2"/>
    <tableColumn id="6" name="Vieraskielisten määrä" dataDxfId="16" dataCellStyle="Normaali 2"/>
    <tableColumn id="7" name="Maapinta-ala, km2" dataDxfId="15" dataCellStyle="Normaali 2"/>
    <tableColumn id="8" name="Asukastiheys" dataDxfId="14" dataCellStyle="Normaali 5">
      <calculatedColumnFormula>C8/G8</calculatedColumnFormula>
    </tableColumn>
    <tableColumn id="9" name="Asukastiheys-kerroin" dataDxfId="13" dataCellStyle="Normaali 2">
      <calculatedColumnFormula>$H$30/H8</calculatedColumnFormula>
    </tableColumn>
    <tableColumn id="10" name="Saaristokuntien saaristossa asuvien määrä" dataDxfId="12" dataCellStyle="Normaali 2"/>
  </tableColumns>
  <tableStyleInfo name="TableStyleLight9" showFirstColumn="0" showLastColumn="0" showRowStripes="1" showColumnStripes="0"/>
</table>
</file>

<file path=xl/tables/table17.xml><?xml version="1.0" encoding="utf-8"?>
<table xmlns="http://schemas.openxmlformats.org/spreadsheetml/2006/main" id="24" name="Taulukko2" displayName="Taulukko2" ref="D5:E68" totalsRowShown="0" headerRowDxfId="11" dataDxfId="9" headerRowBorderDxfId="10" tableBorderDxfId="8">
  <tableColumns count="2">
    <tableColumn id="1" name="Vanhustenhuollon tarvetekijät" dataDxfId="7"/>
    <tableColumn id="2" name="Painokerroin" dataDxfId="6"/>
  </tableColumns>
  <tableStyleInfo name="TableStyleLight9" showFirstColumn="0" showLastColumn="0" showRowStripes="1" showColumnStripes="0"/>
</table>
</file>

<file path=xl/tables/table18.xml><?xml version="1.0" encoding="utf-8"?>
<table xmlns="http://schemas.openxmlformats.org/spreadsheetml/2006/main" id="23" name="Taulukko14" displayName="Taulukko14" ref="A5:B194" totalsRowShown="0" headerRowDxfId="5" dataDxfId="3" headerRowBorderDxfId="4" tableBorderDxfId="2">
  <tableColumns count="2">
    <tableColumn id="1" name="Terveydenhuollon tarvetekijät" dataDxfId="1"/>
    <tableColumn id="2" name="Painokerroin" dataDxfId="0"/>
  </tableColumns>
  <tableStyleInfo name="TableStyleLight9" showFirstColumn="0" showLastColumn="0" showRowStripes="1" showColumnStripes="0"/>
</table>
</file>

<file path=xl/tables/table2.xml><?xml version="1.0" encoding="utf-8"?>
<table xmlns="http://schemas.openxmlformats.org/spreadsheetml/2006/main" id="7" name="Taulukko1" displayName="Taulukko1" ref="A7:B27" totalsRowShown="0" headerRowDxfId="154" dataDxfId="153">
  <tableColumns count="2">
    <tableColumn id="1" name="Rahoituserä" dataDxfId="152"/>
    <tableColumn id="2" name="euroa" dataDxfId="151"/>
  </tableColumns>
  <tableStyleInfo name="TableStyleLight9" showFirstColumn="0" showLastColumn="0" showRowStripes="1" showColumnStripes="0"/>
</table>
</file>

<file path=xl/tables/table3.xml><?xml version="1.0" encoding="utf-8"?>
<table xmlns="http://schemas.openxmlformats.org/spreadsheetml/2006/main" id="4" name="Taulukko6" displayName="Taulukko6" ref="A29:B43" totalsRowShown="0" headerRowDxfId="150" dataDxfId="149">
  <autoFilter ref="A29:B43">
    <filterColumn colId="0" hiddenButton="1"/>
    <filterColumn colId="1" hiddenButton="1"/>
  </autoFilter>
  <tableColumns count="2">
    <tableColumn id="1" name="Valtion vuoden 2025 talousarvioesityksen mukaiset toimenpiteet vuodelle 2025" dataDxfId="148"/>
    <tableColumn id="2" name="euroa" dataDxfId="147"/>
  </tableColumns>
  <tableStyleInfo name="TableStyleLight14" showFirstColumn="0" showLastColumn="0" showRowStripes="1" showColumnStripes="0"/>
</table>
</file>

<file path=xl/tables/table4.xml><?xml version="1.0" encoding="utf-8"?>
<table xmlns="http://schemas.openxmlformats.org/spreadsheetml/2006/main" id="21" name="Taulukko21" displayName="Taulukko21" ref="D7:F11" totalsRowShown="0" headerRowDxfId="146" dataDxfId="145">
  <autoFilter ref="D7:F11">
    <filterColumn colId="0" hiddenButton="1"/>
    <filterColumn colId="1" hiddenButton="1"/>
    <filterColumn colId="2" hiddenButton="1"/>
  </autoFilter>
  <tableColumns count="3">
    <tableColumn id="1" name="Indeksi" dataDxfId="144"/>
    <tableColumn id="2" name="Paino" dataDxfId="143"/>
    <tableColumn id="3" name=" " dataDxfId="142"/>
  </tableColumns>
  <tableStyleInfo name="TableStyleLight9" showFirstColumn="0" showLastColumn="0" showRowStripes="1" showColumnStripes="0"/>
</table>
</file>

<file path=xl/tables/table5.xml><?xml version="1.0" encoding="utf-8"?>
<table xmlns="http://schemas.openxmlformats.org/spreadsheetml/2006/main" id="25" name="Taulukko28" displayName="Taulukko28" ref="A23:J46" totalsRowShown="0" headerRowDxfId="141" dataDxfId="140">
  <autoFilter ref="A23:J4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Hyvinvointialuekoodi" dataDxfId="139" dataCellStyle="Normaali 2"/>
    <tableColumn id="2" name="Hyvinvointialue" dataDxfId="138"/>
    <tableColumn id="3" name="Alueelle myönnetty sote-rahoitus (laskennallinen +/- siirtymätasaus) yht. 2023, euroa " dataDxfId="137" dataCellStyle="Pilkku"/>
    <tableColumn id="4" name="Alueelle myönnetty pela-rahoitus (laskennallinen +/- siirtymätasaus) yht. 2023, euroa" dataDxfId="136" dataCellStyle="Pilkku"/>
    <tableColumn id="5" name="Alueelle myönnetty rahoitus yht. 2023, euroa" dataDxfId="135"/>
    <tableColumn id="6" name="Alueen TP-tietojen mukainen sote-nettokustannus, 2023" dataDxfId="134" dataCellStyle="Pilkku"/>
    <tableColumn id="7" name="Alueen TP-tietojen mukainen pela-nettokustannus, 2023" dataDxfId="133" dataCellStyle="Pilkku"/>
    <tableColumn id="8" name="TP-tietojen mukaiset nettokustannukset yht., 2023" dataDxfId="132"/>
    <tableColumn id="9" name="Sote-rahoituksen ja sote-nettokustannusten erotus, euroa" dataDxfId="131">
      <calculatedColumnFormula>C24-F24</calculatedColumnFormula>
    </tableColumn>
    <tableColumn id="10" name="Pela-rahoituksen ja pela-nettokustannusten erotus, euroa" dataDxfId="130">
      <calculatedColumnFormula>D24-G24</calculatedColumnFormula>
    </tableColumn>
  </tableColumns>
  <tableStyleInfo name="TableStyleLight9" showFirstColumn="0" showLastColumn="0" showRowStripes="1" showColumnStripes="0"/>
</table>
</file>

<file path=xl/tables/table6.xml><?xml version="1.0" encoding="utf-8"?>
<table xmlns="http://schemas.openxmlformats.org/spreadsheetml/2006/main" id="2" name="Taulukko11" displayName="Taulukko11" ref="A34:M57" totalsRowShown="0" headerRowDxfId="129" dataDxfId="128" tableBorderDxfId="127" headerRowCellStyle="Normaali 2" dataCellStyle="Normaali 2">
  <autoFilter ref="A34:M5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Hyvinvointialuekoodi" dataDxfId="126" dataCellStyle="Normaali 2"/>
    <tableColumn id="2" name="Hyvinvointialue" dataDxfId="125" dataCellStyle="Normaali 2"/>
    <tableColumn id="3" name="Asukasluku" dataDxfId="124" dataCellStyle="Normaali 2">
      <calculatedColumnFormula>Määräytymistekijät!C8</calculatedColumnFormula>
    </tableColumn>
    <tableColumn id="4" name="Terveydenhuollon palvelutarvekerroin" dataDxfId="123" dataCellStyle="Normaali 2"/>
    <tableColumn id="5" name="Vanhustenhuollon palvelutarvekerroin" dataDxfId="122" dataCellStyle="Normaali 2"/>
    <tableColumn id="6" name="Sosiaalihuollon palvelutarvekerroin" dataDxfId="121" dataCellStyle="Normaali 2"/>
    <tableColumn id="7" name="Vieraskielisten määrä" dataDxfId="120" dataCellStyle="Normaali 2">
      <calculatedColumnFormula>Määräytymistekijät!F8</calculatedColumnFormula>
    </tableColumn>
    <tableColumn id="8" name="Ruotsinkielisten määrä kaksikielisillä hyvinvointialueilla" dataDxfId="119" dataCellStyle="Normaali 2">
      <calculatedColumnFormula>Määräytymistekijät!D8</calculatedColumnFormula>
    </tableColumn>
    <tableColumn id="9" name="Asukastiheyskerroin" dataDxfId="118" dataCellStyle="Normaali 2">
      <calculatedColumnFormula>Määräytymistekijät!I8</calculatedColumnFormula>
    </tableColumn>
    <tableColumn id="10" name="Saaristokuntien saaristossa asuvan väestön määrä" dataDxfId="117" dataCellStyle="Normaali 2">
      <calculatedColumnFormula>Määräytymistekijät!J8</calculatedColumnFormula>
    </tableColumn>
    <tableColumn id="11" name="Hyte-kerroin (arvio)" dataDxfId="116" dataCellStyle="Normaali 2"/>
    <tableColumn id="12" name="Saamenkielisten määrä hyvinvointialueella, jolla sijaitsee saamelaisten kotiseutualueen kunnat " dataDxfId="115" dataCellStyle="Normaali 2">
      <calculatedColumnFormula>Määräytymistekijät!E8</calculatedColumnFormula>
    </tableColumn>
    <tableColumn id="13" name="Yo-sairaala-alueen asuakasluku" dataDxfId="114" dataCellStyle="Normaali 2">
      <calculatedColumnFormula>C35</calculatedColumnFormula>
    </tableColumn>
  </tableColumns>
  <tableStyleInfo name="TableStyleLight13" showFirstColumn="0" showLastColumn="0" showRowStripes="1" showColumnStripes="0"/>
</table>
</file>

<file path=xl/tables/table7.xml><?xml version="1.0" encoding="utf-8"?>
<table xmlns="http://schemas.openxmlformats.org/spreadsheetml/2006/main" id="3" name="Taulukko15" displayName="Taulukko15" ref="A89:N113" totalsRowShown="0" headerRowDxfId="113" dataDxfId="112" tableBorderDxfId="111" headerRowCellStyle="Normaali 2" dataCellStyle="Normaali 2">
  <autoFilter ref="A89:N1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Hyvinvointialuekoodi" dataDxfId="110" dataCellStyle="Normaali 2"/>
    <tableColumn id="2" name="Hyvinvointialue" dataDxfId="109" dataCellStyle="Normaali 2"/>
    <tableColumn id="3" name="Asukasperusteisuus" dataDxfId="108" dataCellStyle="Normaali 2"/>
    <tableColumn id="4" name="Terveydenhuollon palvelutarve" dataDxfId="107" dataCellStyle="Normaali 2"/>
    <tableColumn id="5" name="Vanhustenhuollon palvelutarve" dataDxfId="106" dataCellStyle="Normaali 2"/>
    <tableColumn id="6" name="Sosiaalihuollon palvelutarve" dataDxfId="105" dataCellStyle="Normaali 2"/>
    <tableColumn id="7" name="Vieraskielisyys" dataDxfId="104" dataCellStyle="Normaali 2"/>
    <tableColumn id="8" name="Kaksikielisyys" dataDxfId="103" dataCellStyle="Normaali 2"/>
    <tableColumn id="9" name="Asukastiheys" dataDxfId="102" dataCellStyle="Normaali 2"/>
    <tableColumn id="10" name="Saaristoisuus" dataDxfId="101" dataCellStyle="Normaali 2"/>
    <tableColumn id="11" name="Hyte-kriteeri" dataDxfId="100" dataCellStyle="Normaali 2"/>
    <tableColumn id="12" name="Saamenkielisyys" dataDxfId="99" dataCellStyle="Normaali 2"/>
    <tableColumn id="14" name="Yo-lisä" dataDxfId="98" dataCellStyle="Normaali 2">
      <calculatedColumnFormula>M61/C35</calculatedColumnFormula>
    </tableColumn>
    <tableColumn id="13" name="Yhteensä, e/as." dataDxfId="97" dataCellStyle="Normaali 2"/>
  </tableColumns>
  <tableStyleInfo name="TableStyleLight13" showFirstColumn="0" showLastColumn="0" showRowStripes="1" showColumnStripes="0"/>
</table>
</file>

<file path=xl/tables/table8.xml><?xml version="1.0" encoding="utf-8"?>
<table xmlns="http://schemas.openxmlformats.org/spreadsheetml/2006/main" id="5" name="Taulukko5" displayName="Taulukko5" ref="A7:C24" totalsRowShown="0" tableBorderDxfId="96">
  <autoFilter ref="A7:C24">
    <filterColumn colId="0" hiddenButton="1"/>
    <filterColumn colId="1" hiddenButton="1"/>
    <filterColumn colId="2" hiddenButton="1"/>
  </autoFilter>
  <tableColumns count="3">
    <tableColumn id="1" name="Laskennallinen sote-rahoitus vuonna 2025" dataDxfId="95" dataCellStyle="Normaali 2"/>
    <tableColumn id="2" name="euroa" dataDxfId="94" dataCellStyle="Normaali 2"/>
    <tableColumn id="3" name=" " dataDxfId="93" dataCellStyle="Normaali 2"/>
  </tableColumns>
  <tableStyleInfo name="TableStyleLight9" showFirstColumn="0" showLastColumn="0" showRowStripes="1" showColumnStripes="0"/>
</table>
</file>

<file path=xl/tables/table9.xml><?xml version="1.0" encoding="utf-8"?>
<table xmlns="http://schemas.openxmlformats.org/spreadsheetml/2006/main" id="15" name="Taulukko16" displayName="Taulukko16" ref="B60:N84" totalsRowShown="0" dataDxfId="92" dataCellStyle="Normaali 2">
  <autoFilter ref="B60:N8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Hyvinvointialue" dataDxfId="91" dataCellStyle="Normaali 2"/>
    <tableColumn id="2" name="Asukasperusteisuus" dataDxfId="90" dataCellStyle="Normaali 2"/>
    <tableColumn id="3" name="Terveydenhuollon palvelutarve" dataDxfId="89" dataCellStyle="Normaali 2"/>
    <tableColumn id="4" name="Vanhustenhuollon palvelutarve" dataDxfId="88" dataCellStyle="Normaali 2"/>
    <tableColumn id="5" name="Sosiaalihuollon palvelutarve" dataDxfId="87" dataCellStyle="Normaali 2"/>
    <tableColumn id="6" name="Vieraskielisyys" dataDxfId="86" dataCellStyle="Normaali 2"/>
    <tableColumn id="7" name="Kaksikielisyys" dataDxfId="85" dataCellStyle="Normaali 2"/>
    <tableColumn id="8" name="Asukastiheys" dataDxfId="84" dataCellStyle="Normaali 2"/>
    <tableColumn id="9" name="Saaristoisuus" dataDxfId="83" dataCellStyle="Normaali 2"/>
    <tableColumn id="10" name="Hyte-kriteeri" dataDxfId="82" dataCellStyle="Normaali 2"/>
    <tableColumn id="11" name="Saamenkielisyys" dataDxfId="81" dataCellStyle="Normaali 2"/>
    <tableColumn id="12" name="Yo-lisä" dataDxfId="80" dataCellStyle="Normaali 2"/>
    <tableColumn id="13" name="Yhteensä, euroa" dataDxfId="79" dataCellStyle="Normaali 2">
      <calculatedColumnFormula>SUM(C61:M61)</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VM">
  <a:themeElements>
    <a:clrScheme name="Mukautettu 72">
      <a:dk1>
        <a:srgbClr val="000000"/>
      </a:dk1>
      <a:lt1>
        <a:srgbClr val="FFFFFF"/>
      </a:lt1>
      <a:dk2>
        <a:srgbClr val="006475"/>
      </a:dk2>
      <a:lt2>
        <a:srgbClr val="F3F3F1"/>
      </a:lt2>
      <a:accent1>
        <a:srgbClr val="006475"/>
      </a:accent1>
      <a:accent2>
        <a:srgbClr val="365ABD"/>
      </a:accent2>
      <a:accent3>
        <a:srgbClr val="C48903"/>
      </a:accent3>
      <a:accent4>
        <a:srgbClr val="0098E8"/>
      </a:accent4>
      <a:accent5>
        <a:srgbClr val="1B396D"/>
      </a:accent5>
      <a:accent6>
        <a:srgbClr val="00959B"/>
      </a:accent6>
      <a:hlink>
        <a:srgbClr val="006475"/>
      </a:hlink>
      <a:folHlink>
        <a:srgbClr val="1A7483"/>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VM" id="{3DF45576-4D75-4BF3-81D5-B080B69DE8DE}" vid="{1F6FAD5D-40CC-405A-B866-2B05B4C46EA0}"/>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5.bin"/><Relationship Id="rId5" Type="http://schemas.openxmlformats.org/officeDocument/2006/relationships/table" Target="../tables/table9.xml"/><Relationship Id="rId4" Type="http://schemas.openxmlformats.org/officeDocument/2006/relationships/table" Target="../tables/table8.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table" Target="../tables/table10.xml"/><Relationship Id="rId5" Type="http://schemas.openxmlformats.org/officeDocument/2006/relationships/table" Target="../tables/table14.xml"/><Relationship Id="rId4" Type="http://schemas.openxmlformats.org/officeDocument/2006/relationships/table" Target="../tables/table1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B11"/>
  <sheetViews>
    <sheetView tabSelected="1" zoomScale="80" zoomScaleNormal="80" workbookViewId="0"/>
  </sheetViews>
  <sheetFormatPr defaultRowHeight="14" x14ac:dyDescent="0.3"/>
  <cols>
    <col min="1" max="1" width="109.9140625" style="12" customWidth="1"/>
  </cols>
  <sheetData>
    <row r="1" spans="1:2" ht="20" x14ac:dyDescent="0.4">
      <c r="A1" s="267" t="s">
        <v>394</v>
      </c>
      <c r="B1" s="204"/>
    </row>
    <row r="2" spans="1:2" x14ac:dyDescent="0.3">
      <c r="A2" s="2" t="s">
        <v>395</v>
      </c>
    </row>
    <row r="3" spans="1:2" ht="37.5" customHeight="1" x14ac:dyDescent="0.3">
      <c r="A3" s="416" t="s">
        <v>413</v>
      </c>
    </row>
    <row r="4" spans="1:2" ht="64.5" customHeight="1" x14ac:dyDescent="0.4">
      <c r="A4" s="416" t="s">
        <v>414</v>
      </c>
      <c r="B4" s="440"/>
    </row>
    <row r="5" spans="1:2" ht="61" customHeight="1" x14ac:dyDescent="0.3">
      <c r="A5" s="423" t="s">
        <v>412</v>
      </c>
    </row>
    <row r="6" spans="1:2" ht="46.5" customHeight="1" x14ac:dyDescent="0.3">
      <c r="A6" s="416" t="s">
        <v>406</v>
      </c>
    </row>
    <row r="7" spans="1:2" ht="137" customHeight="1" x14ac:dyDescent="0.3">
      <c r="A7" s="416" t="s">
        <v>415</v>
      </c>
    </row>
    <row r="8" spans="1:2" ht="42" customHeight="1" x14ac:dyDescent="0.3">
      <c r="A8" s="12" t="s">
        <v>393</v>
      </c>
    </row>
    <row r="9" spans="1:2" x14ac:dyDescent="0.3">
      <c r="A9" s="12" t="s">
        <v>392</v>
      </c>
    </row>
    <row r="10" spans="1:2" x14ac:dyDescent="0.3">
      <c r="A10" s="125" t="s">
        <v>391</v>
      </c>
    </row>
    <row r="11" spans="1:2" x14ac:dyDescent="0.3">
      <c r="A11" s="125" t="s">
        <v>390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D34"/>
  <sheetViews>
    <sheetView zoomScale="69" zoomScaleNormal="80" workbookViewId="0"/>
  </sheetViews>
  <sheetFormatPr defaultRowHeight="14" x14ac:dyDescent="0.3"/>
  <cols>
    <col min="1" max="1" width="20.25" style="2" customWidth="1"/>
    <col min="2" max="2" width="23.83203125" style="2" customWidth="1"/>
    <col min="3" max="3" width="21.58203125" style="2" customWidth="1"/>
    <col min="4" max="4" width="25.83203125" style="2" customWidth="1"/>
    <col min="5" max="5" width="24.58203125" style="2" customWidth="1"/>
    <col min="6" max="6" width="22.5" style="2" customWidth="1"/>
    <col min="7" max="7" width="23.25" style="2" customWidth="1"/>
    <col min="8" max="8" width="24.25" style="2" customWidth="1"/>
    <col min="9" max="9" width="23.5" style="2" customWidth="1"/>
    <col min="10" max="10" width="22.08203125" style="2" customWidth="1"/>
    <col min="11" max="11" width="14.58203125" style="2" customWidth="1"/>
    <col min="12" max="12" width="16.08203125" style="10" customWidth="1"/>
    <col min="13" max="13" width="10.33203125" style="10" customWidth="1"/>
    <col min="14" max="14" width="13.08203125" style="10" customWidth="1"/>
    <col min="15" max="15" width="13.83203125" style="10" customWidth="1"/>
    <col min="16" max="17" width="11.83203125" style="10" customWidth="1"/>
    <col min="18" max="18" width="11.08203125" style="10" customWidth="1"/>
    <col min="19" max="19" width="10.58203125" style="10" customWidth="1"/>
    <col min="20" max="20" width="11" style="10" customWidth="1"/>
    <col min="21" max="21" width="6.08203125" style="10" customWidth="1"/>
    <col min="22" max="22" width="10.5" style="10" customWidth="1"/>
    <col min="23" max="23" width="12.33203125" style="10" bestFit="1" customWidth="1"/>
    <col min="24" max="24" width="11.58203125" style="10" customWidth="1"/>
    <col min="25" max="25" width="9.58203125" style="10" customWidth="1"/>
    <col min="26" max="26" width="6.33203125" style="10" bestFit="1" customWidth="1"/>
    <col min="27" max="27" width="8.33203125" style="10"/>
    <col min="28" max="28" width="14.83203125" style="10" bestFit="1" customWidth="1"/>
    <col min="29" max="29" width="9.83203125" style="10" bestFit="1" customWidth="1"/>
    <col min="30" max="30" width="10.58203125" style="10" bestFit="1" customWidth="1"/>
  </cols>
  <sheetData>
    <row r="1" spans="1:30" ht="20" x14ac:dyDescent="0.4">
      <c r="A1" s="267" t="s">
        <v>341</v>
      </c>
      <c r="AD1" s="2"/>
    </row>
    <row r="2" spans="1:30" x14ac:dyDescent="0.3">
      <c r="A2" s="1" t="str">
        <f>INFO!A2</f>
        <v>VM/KAO 23.9.2024</v>
      </c>
      <c r="AD2" s="2"/>
    </row>
    <row r="3" spans="1:30" ht="59.5" customHeight="1" x14ac:dyDescent="0.3">
      <c r="A3" s="442" t="s">
        <v>402</v>
      </c>
      <c r="B3" s="442"/>
      <c r="C3" s="442"/>
      <c r="D3" s="442"/>
      <c r="E3" s="442"/>
      <c r="F3" s="442"/>
      <c r="G3" s="302"/>
      <c r="AD3" s="2"/>
    </row>
    <row r="4" spans="1:30" x14ac:dyDescent="0.3">
      <c r="A4" s="33"/>
      <c r="AD4" s="2"/>
    </row>
    <row r="5" spans="1:30" s="132" customFormat="1" ht="19" customHeight="1" thickBot="1" x14ac:dyDescent="0.4">
      <c r="A5" s="251" t="s">
        <v>342</v>
      </c>
      <c r="B5" s="141"/>
      <c r="C5" s="141"/>
      <c r="D5" s="141"/>
      <c r="E5" s="141"/>
      <c r="F5" s="390"/>
      <c r="G5" s="141"/>
      <c r="H5" s="160"/>
      <c r="I5" s="160"/>
      <c r="J5" s="183"/>
      <c r="K5" s="174"/>
      <c r="L5" s="174"/>
    </row>
    <row r="6" spans="1:30" s="145" customFormat="1" ht="70" customHeight="1" thickTop="1" x14ac:dyDescent="0.3">
      <c r="A6" s="133" t="s">
        <v>8</v>
      </c>
      <c r="B6" s="134" t="s">
        <v>9</v>
      </c>
      <c r="C6" s="134" t="s">
        <v>40</v>
      </c>
      <c r="D6" s="144" t="s">
        <v>424</v>
      </c>
      <c r="E6" s="139" t="s">
        <v>374</v>
      </c>
      <c r="F6" s="144" t="s">
        <v>343</v>
      </c>
      <c r="G6" s="290" t="s">
        <v>344</v>
      </c>
      <c r="H6" s="276" t="s">
        <v>345</v>
      </c>
      <c r="I6" s="280" t="s">
        <v>346</v>
      </c>
      <c r="K6" s="176"/>
      <c r="L6" s="175"/>
    </row>
    <row r="7" spans="1:30" s="132" customFormat="1" x14ac:dyDescent="0.3">
      <c r="A7" s="135">
        <v>31</v>
      </c>
      <c r="B7" s="21" t="s">
        <v>17</v>
      </c>
      <c r="C7" s="179">
        <f>Määräytymistekijät!C8</f>
        <v>674500</v>
      </c>
      <c r="D7" s="262">
        <v>2699662432.4280238</v>
      </c>
      <c r="E7" s="262">
        <f>'SOTE laskennallinen rahoitus'!N61+'PELA laskennallinen rahoitus'!F43</f>
        <v>2814099217.3244615</v>
      </c>
      <c r="F7" s="177">
        <v>135420868.61124372</v>
      </c>
      <c r="G7" s="291">
        <f t="shared" ref="G7:G29" si="0">E7+F7</f>
        <v>2949520085.9357052</v>
      </c>
      <c r="H7" s="432">
        <f t="shared" ref="H7:H29" si="1">G7/C7</f>
        <v>4372.8985706978583</v>
      </c>
      <c r="I7" s="281">
        <f t="shared" ref="I7:I29" si="2">G7-D7</f>
        <v>249857653.50768137</v>
      </c>
      <c r="K7" s="398"/>
      <c r="L7" s="431"/>
      <c r="M7" s="398"/>
      <c r="N7" s="398"/>
      <c r="O7" s="415"/>
      <c r="P7" s="415"/>
    </row>
    <row r="8" spans="1:30" s="132" customFormat="1" x14ac:dyDescent="0.3">
      <c r="A8" s="135">
        <v>32</v>
      </c>
      <c r="B8" s="21" t="s">
        <v>49</v>
      </c>
      <c r="C8" s="179">
        <f>Määräytymistekijät!C9</f>
        <v>285654</v>
      </c>
      <c r="D8" s="262">
        <v>1061290155.9496081</v>
      </c>
      <c r="E8" s="262">
        <f>'SOTE laskennallinen rahoitus'!N62+'PELA laskennallinen rahoitus'!F44</f>
        <v>1200358589.8483958</v>
      </c>
      <c r="F8" s="177">
        <v>0</v>
      </c>
      <c r="G8" s="291">
        <f t="shared" si="0"/>
        <v>1200358589.8483958</v>
      </c>
      <c r="H8" s="432">
        <f t="shared" si="1"/>
        <v>4202.1417163715396</v>
      </c>
      <c r="I8" s="281">
        <f t="shared" si="2"/>
        <v>139068433.89878774</v>
      </c>
      <c r="K8" s="398"/>
      <c r="L8" s="431"/>
      <c r="M8" s="398"/>
      <c r="N8" s="398"/>
      <c r="O8" s="415"/>
      <c r="P8" s="415"/>
    </row>
    <row r="9" spans="1:30" s="132" customFormat="1" x14ac:dyDescent="0.3">
      <c r="A9" s="135">
        <v>33</v>
      </c>
      <c r="B9" s="21" t="s">
        <v>19</v>
      </c>
      <c r="C9" s="179">
        <f>Määräytymistekijät!C10</f>
        <v>494952</v>
      </c>
      <c r="D9" s="262">
        <v>1769327744.9223533</v>
      </c>
      <c r="E9" s="262">
        <f>'SOTE laskennallinen rahoitus'!N63+'PELA laskennallinen rahoitus'!F45</f>
        <v>1966676321.9614413</v>
      </c>
      <c r="F9" s="177">
        <v>-13470566.135289431</v>
      </c>
      <c r="G9" s="291">
        <f t="shared" si="0"/>
        <v>1953205755.8261518</v>
      </c>
      <c r="H9" s="432">
        <f t="shared" si="1"/>
        <v>3946.2528807362164</v>
      </c>
      <c r="I9" s="281">
        <f t="shared" si="2"/>
        <v>183878010.90379858</v>
      </c>
      <c r="K9" s="398"/>
      <c r="L9" s="431"/>
      <c r="M9" s="398"/>
      <c r="N9" s="398"/>
      <c r="O9" s="415"/>
      <c r="P9" s="415"/>
    </row>
    <row r="10" spans="1:30" s="132" customFormat="1" x14ac:dyDescent="0.3">
      <c r="A10" s="135">
        <v>34</v>
      </c>
      <c r="B10" s="21" t="s">
        <v>20</v>
      </c>
      <c r="C10" s="179">
        <f>Määräytymistekijät!C11</f>
        <v>98987</v>
      </c>
      <c r="D10" s="262">
        <v>389349187.85992956</v>
      </c>
      <c r="E10" s="262">
        <f>'SOTE laskennallinen rahoitus'!N64+'PELA laskennallinen rahoitus'!F46</f>
        <v>448706518.6674301</v>
      </c>
      <c r="F10" s="177">
        <v>-23537776.111430224</v>
      </c>
      <c r="G10" s="291">
        <f t="shared" si="0"/>
        <v>425168742.55599988</v>
      </c>
      <c r="H10" s="432">
        <f t="shared" si="1"/>
        <v>4295.1977790618957</v>
      </c>
      <c r="I10" s="281">
        <f t="shared" si="2"/>
        <v>35819554.696070313</v>
      </c>
      <c r="K10" s="398"/>
      <c r="L10" s="431"/>
      <c r="M10" s="398"/>
      <c r="N10" s="398"/>
      <c r="O10" s="415"/>
      <c r="P10" s="415"/>
    </row>
    <row r="11" spans="1:30" s="132" customFormat="1" x14ac:dyDescent="0.3">
      <c r="A11" s="135">
        <v>35</v>
      </c>
      <c r="B11" s="21" t="s">
        <v>21</v>
      </c>
      <c r="C11" s="179">
        <f>Määräytymistekijät!C12</f>
        <v>205444</v>
      </c>
      <c r="D11" s="262">
        <v>797968188.18242705</v>
      </c>
      <c r="E11" s="262">
        <f>'SOTE laskennallinen rahoitus'!N65+'PELA laskennallinen rahoitus'!F47</f>
        <v>844983625.13555849</v>
      </c>
      <c r="F11" s="177">
        <v>14751952.803600311</v>
      </c>
      <c r="G11" s="291">
        <f t="shared" si="0"/>
        <v>859735577.9391588</v>
      </c>
      <c r="H11" s="432">
        <f t="shared" si="1"/>
        <v>4184.7684913609492</v>
      </c>
      <c r="I11" s="281">
        <f t="shared" si="2"/>
        <v>61767389.756731749</v>
      </c>
      <c r="K11" s="398"/>
      <c r="L11" s="431"/>
      <c r="M11" s="398"/>
      <c r="N11" s="398"/>
      <c r="O11" s="415"/>
      <c r="P11" s="415"/>
    </row>
    <row r="12" spans="1:30" s="132" customFormat="1" x14ac:dyDescent="0.3">
      <c r="A12" s="136">
        <v>2</v>
      </c>
      <c r="B12" s="21" t="s">
        <v>22</v>
      </c>
      <c r="C12" s="179">
        <f>Määräytymistekijät!C13</f>
        <v>490786</v>
      </c>
      <c r="D12" s="262">
        <v>2068973297.400871</v>
      </c>
      <c r="E12" s="262">
        <f>'SOTE laskennallinen rahoitus'!N66+'PELA laskennallinen rahoitus'!F48</f>
        <v>2417436817.0031056</v>
      </c>
      <c r="F12" s="177">
        <v>-87566113.2759552</v>
      </c>
      <c r="G12" s="291">
        <f t="shared" si="0"/>
        <v>2329870703.7271504</v>
      </c>
      <c r="H12" s="432">
        <f t="shared" si="1"/>
        <v>4747.2232372707258</v>
      </c>
      <c r="I12" s="281">
        <f t="shared" si="2"/>
        <v>260897406.3262794</v>
      </c>
      <c r="K12" s="398"/>
      <c r="L12" s="431"/>
      <c r="M12" s="398"/>
      <c r="N12" s="398"/>
      <c r="O12" s="415"/>
      <c r="P12" s="415"/>
    </row>
    <row r="13" spans="1:30" s="132" customFormat="1" x14ac:dyDescent="0.3">
      <c r="A13" s="136">
        <v>4</v>
      </c>
      <c r="B13" s="21" t="s">
        <v>23</v>
      </c>
      <c r="C13" s="179">
        <f>Määräytymistekijät!C14</f>
        <v>211740</v>
      </c>
      <c r="D13" s="262">
        <v>996243905.02523613</v>
      </c>
      <c r="E13" s="262">
        <f>'SOTE laskennallinen rahoitus'!N67+'PELA laskennallinen rahoitus'!F49</f>
        <v>1050362035.1586115</v>
      </c>
      <c r="F13" s="177">
        <v>19983454.03855288</v>
      </c>
      <c r="G13" s="291">
        <f t="shared" si="0"/>
        <v>1070345489.1971644</v>
      </c>
      <c r="H13" s="432">
        <f t="shared" si="1"/>
        <v>5054.9990044260148</v>
      </c>
      <c r="I13" s="281">
        <f t="shared" si="2"/>
        <v>74101584.171928287</v>
      </c>
      <c r="K13" s="398"/>
      <c r="L13" s="431"/>
      <c r="M13" s="398"/>
      <c r="N13" s="398"/>
      <c r="O13" s="415"/>
      <c r="P13" s="415"/>
    </row>
    <row r="14" spans="1:30" s="132" customFormat="1" x14ac:dyDescent="0.3">
      <c r="A14" s="136">
        <v>5</v>
      </c>
      <c r="B14" s="21" t="s">
        <v>24</v>
      </c>
      <c r="C14" s="179">
        <f>Määräytymistekijät!C15</f>
        <v>169547</v>
      </c>
      <c r="D14" s="262">
        <v>738281137.78028548</v>
      </c>
      <c r="E14" s="262">
        <f>'SOTE laskennallinen rahoitus'!N68+'PELA laskennallinen rahoitus'!F50</f>
        <v>815550142.21965134</v>
      </c>
      <c r="F14" s="177">
        <v>-11737112.596408606</v>
      </c>
      <c r="G14" s="291">
        <f t="shared" si="0"/>
        <v>803813029.62324274</v>
      </c>
      <c r="H14" s="432">
        <f t="shared" si="1"/>
        <v>4740.9451634251427</v>
      </c>
      <c r="I14" s="281">
        <f t="shared" si="2"/>
        <v>65531891.842957258</v>
      </c>
      <c r="K14" s="398"/>
      <c r="L14" s="431"/>
      <c r="M14" s="398"/>
      <c r="N14" s="398"/>
      <c r="O14" s="415"/>
      <c r="P14" s="415"/>
    </row>
    <row r="15" spans="1:30" s="132" customFormat="1" x14ac:dyDescent="0.3">
      <c r="A15" s="136">
        <v>6</v>
      </c>
      <c r="B15" s="21" t="s">
        <v>25</v>
      </c>
      <c r="C15" s="179">
        <f>Määräytymistekijät!C16</f>
        <v>539309</v>
      </c>
      <c r="D15" s="262">
        <v>2276622558.0471382</v>
      </c>
      <c r="E15" s="262">
        <f>'SOTE laskennallinen rahoitus'!N69+'PELA laskennallinen rahoitus'!F51</f>
        <v>2507331841.3658786</v>
      </c>
      <c r="F15" s="177">
        <v>0</v>
      </c>
      <c r="G15" s="291">
        <f t="shared" si="0"/>
        <v>2507331841.3658786</v>
      </c>
      <c r="H15" s="432">
        <f t="shared" si="1"/>
        <v>4649.1563118098875</v>
      </c>
      <c r="I15" s="281">
        <f t="shared" si="2"/>
        <v>230709283.31874037</v>
      </c>
      <c r="K15" s="398"/>
      <c r="L15" s="431"/>
      <c r="M15" s="398"/>
      <c r="N15" s="398"/>
      <c r="O15" s="415"/>
      <c r="P15" s="415"/>
    </row>
    <row r="16" spans="1:30" s="132" customFormat="1" x14ac:dyDescent="0.3">
      <c r="A16" s="136">
        <v>7</v>
      </c>
      <c r="B16" s="21" t="s">
        <v>26</v>
      </c>
      <c r="C16" s="179">
        <f>Määräytymistekijät!C17</f>
        <v>204479</v>
      </c>
      <c r="D16" s="262">
        <v>893152113.47150838</v>
      </c>
      <c r="E16" s="262">
        <f>'SOTE laskennallinen rahoitus'!N70+'PELA laskennallinen rahoitus'!F52</f>
        <v>998939556.52267385</v>
      </c>
      <c r="F16" s="177">
        <v>-44606261.957102299</v>
      </c>
      <c r="G16" s="291">
        <f t="shared" si="0"/>
        <v>954333294.56557155</v>
      </c>
      <c r="H16" s="432">
        <f t="shared" si="1"/>
        <v>4667.1457438933658</v>
      </c>
      <c r="I16" s="281">
        <f t="shared" si="2"/>
        <v>61181181.094063163</v>
      </c>
      <c r="K16" s="398"/>
      <c r="L16" s="431"/>
      <c r="M16" s="398"/>
      <c r="N16" s="398"/>
      <c r="O16" s="415"/>
      <c r="P16" s="415"/>
    </row>
    <row r="17" spans="1:16" s="132" customFormat="1" x14ac:dyDescent="0.3">
      <c r="A17" s="136">
        <v>8</v>
      </c>
      <c r="B17" s="21" t="s">
        <v>27</v>
      </c>
      <c r="C17" s="179">
        <f>Määräytymistekijät!C18</f>
        <v>158658</v>
      </c>
      <c r="D17" s="262">
        <v>828368643.07320547</v>
      </c>
      <c r="E17" s="262">
        <f>'SOTE laskennallinen rahoitus'!N71+'PELA laskennallinen rahoitus'!F53</f>
        <v>851965775.42343581</v>
      </c>
      <c r="F17" s="177">
        <v>40931684.451857209</v>
      </c>
      <c r="G17" s="291">
        <f t="shared" si="0"/>
        <v>892897459.87529302</v>
      </c>
      <c r="H17" s="432">
        <f t="shared" si="1"/>
        <v>5627.8124007317183</v>
      </c>
      <c r="I17" s="281">
        <f t="shared" si="2"/>
        <v>64528816.802087545</v>
      </c>
      <c r="K17" s="398"/>
      <c r="L17" s="431"/>
      <c r="M17" s="398"/>
      <c r="N17" s="398"/>
      <c r="O17" s="415"/>
      <c r="P17" s="415"/>
    </row>
    <row r="18" spans="1:16" s="132" customFormat="1" x14ac:dyDescent="0.3">
      <c r="A18" s="136">
        <v>9</v>
      </c>
      <c r="B18" s="21" t="s">
        <v>28</v>
      </c>
      <c r="C18" s="179">
        <f>Määräytymistekijät!C19</f>
        <v>125162</v>
      </c>
      <c r="D18" s="262">
        <v>570944934.80562544</v>
      </c>
      <c r="E18" s="262">
        <f>'SOTE laskennallinen rahoitus'!N72+'PELA laskennallinen rahoitus'!F54</f>
        <v>601842606.75254071</v>
      </c>
      <c r="F18" s="177">
        <v>3243642.33104527</v>
      </c>
      <c r="G18" s="291">
        <f t="shared" si="0"/>
        <v>605086249.08358598</v>
      </c>
      <c r="H18" s="432">
        <f t="shared" si="1"/>
        <v>4834.4245784150617</v>
      </c>
      <c r="I18" s="281">
        <f t="shared" si="2"/>
        <v>34141314.277960539</v>
      </c>
      <c r="K18" s="398"/>
      <c r="L18" s="431"/>
      <c r="M18" s="398"/>
      <c r="N18" s="398"/>
      <c r="O18" s="415"/>
      <c r="P18" s="415"/>
    </row>
    <row r="19" spans="1:16" s="132" customFormat="1" x14ac:dyDescent="0.3">
      <c r="A19" s="136">
        <v>10</v>
      </c>
      <c r="B19" s="21" t="s">
        <v>29</v>
      </c>
      <c r="C19" s="179">
        <f>Määräytymistekijät!C20</f>
        <v>129914</v>
      </c>
      <c r="D19" s="262">
        <v>709564338.17059922</v>
      </c>
      <c r="E19" s="262">
        <f>'SOTE laskennallinen rahoitus'!N73+'PELA laskennallinen rahoitus'!F55</f>
        <v>720130607.93224514</v>
      </c>
      <c r="F19" s="177">
        <v>36953395.514414191</v>
      </c>
      <c r="G19" s="291">
        <f t="shared" si="0"/>
        <v>757084003.44665933</v>
      </c>
      <c r="H19" s="432">
        <f t="shared" si="1"/>
        <v>5827.5782705994679</v>
      </c>
      <c r="I19" s="281">
        <f t="shared" si="2"/>
        <v>47519665.276060104</v>
      </c>
      <c r="K19" s="398"/>
      <c r="L19" s="431"/>
      <c r="M19" s="398"/>
      <c r="N19" s="398"/>
      <c r="O19" s="415"/>
      <c r="P19" s="415"/>
    </row>
    <row r="20" spans="1:16" s="132" customFormat="1" x14ac:dyDescent="0.3">
      <c r="A20" s="136">
        <v>11</v>
      </c>
      <c r="B20" s="21" t="s">
        <v>30</v>
      </c>
      <c r="C20" s="179">
        <f>Määräytymistekijät!C21</f>
        <v>248190</v>
      </c>
      <c r="D20" s="262">
        <v>1204222913.1557593</v>
      </c>
      <c r="E20" s="262">
        <f>'SOTE laskennallinen rahoitus'!N74+'PELA laskennallinen rahoitus'!F56</f>
        <v>1293608612.842011</v>
      </c>
      <c r="F20" s="177">
        <v>-5490125.5102181425</v>
      </c>
      <c r="G20" s="291">
        <f t="shared" si="0"/>
        <v>1288118487.3317928</v>
      </c>
      <c r="H20" s="432">
        <f t="shared" si="1"/>
        <v>5190.0499106804982</v>
      </c>
      <c r="I20" s="281">
        <f t="shared" si="2"/>
        <v>83895574.176033497</v>
      </c>
      <c r="K20" s="398"/>
      <c r="L20" s="431"/>
      <c r="M20" s="398"/>
      <c r="N20" s="398"/>
      <c r="O20" s="415"/>
      <c r="P20" s="415"/>
    </row>
    <row r="21" spans="1:16" s="132" customFormat="1" x14ac:dyDescent="0.3">
      <c r="A21" s="136">
        <v>12</v>
      </c>
      <c r="B21" s="21" t="s">
        <v>31</v>
      </c>
      <c r="C21" s="179">
        <f>Määräytymistekijät!C22</f>
        <v>162321</v>
      </c>
      <c r="D21" s="262">
        <v>779981798.10122645</v>
      </c>
      <c r="E21" s="262">
        <f>'SOTE laskennallinen rahoitus'!N75+'PELA laskennallinen rahoitus'!F57</f>
        <v>898214432.36856556</v>
      </c>
      <c r="F21" s="177">
        <v>-61413135.453743696</v>
      </c>
      <c r="G21" s="291">
        <f t="shared" si="0"/>
        <v>836801296.91482186</v>
      </c>
      <c r="H21" s="432">
        <f t="shared" si="1"/>
        <v>5155.2251213017535</v>
      </c>
      <c r="I21" s="281">
        <f t="shared" si="2"/>
        <v>56819498.813595414</v>
      </c>
      <c r="K21" s="398"/>
      <c r="L21" s="431"/>
      <c r="M21" s="398"/>
      <c r="N21" s="398"/>
      <c r="O21" s="415"/>
      <c r="P21" s="415"/>
    </row>
    <row r="22" spans="1:16" s="132" customFormat="1" x14ac:dyDescent="0.3">
      <c r="A22" s="136">
        <v>13</v>
      </c>
      <c r="B22" s="21" t="s">
        <v>32</v>
      </c>
      <c r="C22" s="179">
        <f>Määräytymistekijät!C23</f>
        <v>273271</v>
      </c>
      <c r="D22" s="262">
        <v>1192186730.7773082</v>
      </c>
      <c r="E22" s="262">
        <f>'SOTE laskennallinen rahoitus'!N76+'PELA laskennallinen rahoitus'!F58</f>
        <v>1253627561.3661087</v>
      </c>
      <c r="F22" s="177">
        <v>16793500.974749565</v>
      </c>
      <c r="G22" s="291">
        <f t="shared" si="0"/>
        <v>1270421062.3408582</v>
      </c>
      <c r="H22" s="432">
        <f t="shared" si="1"/>
        <v>4648.9421209746306</v>
      </c>
      <c r="I22" s="281">
        <f t="shared" si="2"/>
        <v>78234331.563549995</v>
      </c>
      <c r="K22" s="398"/>
      <c r="L22" s="431"/>
      <c r="M22" s="398"/>
      <c r="N22" s="398"/>
      <c r="O22" s="415"/>
      <c r="P22" s="415"/>
    </row>
    <row r="23" spans="1:16" s="132" customFormat="1" x14ac:dyDescent="0.3">
      <c r="A23" s="136">
        <v>14</v>
      </c>
      <c r="B23" s="21" t="s">
        <v>33</v>
      </c>
      <c r="C23" s="179">
        <f>Määräytymistekijät!C24</f>
        <v>190539</v>
      </c>
      <c r="D23" s="262">
        <v>909419854.07351434</v>
      </c>
      <c r="E23" s="262">
        <f>'SOTE laskennallinen rahoitus'!N77+'PELA laskennallinen rahoitus'!F59</f>
        <v>964280554.28436506</v>
      </c>
      <c r="F23" s="177">
        <v>0</v>
      </c>
      <c r="G23" s="291">
        <f t="shared" si="0"/>
        <v>964280554.28436506</v>
      </c>
      <c r="H23" s="432">
        <f t="shared" si="1"/>
        <v>5060.804109837698</v>
      </c>
      <c r="I23" s="281">
        <f t="shared" si="2"/>
        <v>54860700.210850716</v>
      </c>
      <c r="K23" s="398"/>
      <c r="L23" s="431"/>
      <c r="M23" s="398"/>
      <c r="N23" s="398"/>
      <c r="O23" s="415"/>
      <c r="P23" s="415"/>
    </row>
    <row r="24" spans="1:16" s="132" customFormat="1" x14ac:dyDescent="0.3">
      <c r="A24" s="136">
        <v>15</v>
      </c>
      <c r="B24" s="21" t="s">
        <v>34</v>
      </c>
      <c r="C24" s="179">
        <f>Määräytymistekijät!C25</f>
        <v>177602</v>
      </c>
      <c r="D24" s="262">
        <v>786374927.28546989</v>
      </c>
      <c r="E24" s="262">
        <f>'SOTE laskennallinen rahoitus'!N78+'PELA laskennallinen rahoitus'!F60</f>
        <v>829171176.03896153</v>
      </c>
      <c r="F24" s="177">
        <v>13597775.108880045</v>
      </c>
      <c r="G24" s="291">
        <f t="shared" si="0"/>
        <v>842768951.14784157</v>
      </c>
      <c r="H24" s="432">
        <f t="shared" si="1"/>
        <v>4745.2672331834192</v>
      </c>
      <c r="I24" s="281">
        <f t="shared" si="2"/>
        <v>56394023.862371683</v>
      </c>
      <c r="K24" s="398"/>
      <c r="L24" s="431"/>
      <c r="M24" s="398"/>
      <c r="N24" s="398"/>
      <c r="O24" s="415"/>
      <c r="P24" s="415"/>
    </row>
    <row r="25" spans="1:16" s="132" customFormat="1" x14ac:dyDescent="0.3">
      <c r="A25" s="136">
        <v>16</v>
      </c>
      <c r="B25" s="21" t="s">
        <v>35</v>
      </c>
      <c r="C25" s="179">
        <f>Määräytymistekijät!C26</f>
        <v>67736</v>
      </c>
      <c r="D25" s="262">
        <v>311995577.22288555</v>
      </c>
      <c r="E25" s="262">
        <f>'SOTE laskennallinen rahoitus'!N79+'PELA laskennallinen rahoitus'!F61</f>
        <v>350648767.16607833</v>
      </c>
      <c r="F25" s="177">
        <v>-17513420.819767535</v>
      </c>
      <c r="G25" s="291">
        <f t="shared" si="0"/>
        <v>333135346.34631079</v>
      </c>
      <c r="H25" s="432">
        <f t="shared" si="1"/>
        <v>4918.143178609761</v>
      </c>
      <c r="I25" s="281">
        <f t="shared" si="2"/>
        <v>21139769.123425245</v>
      </c>
      <c r="K25" s="398"/>
      <c r="L25" s="431"/>
      <c r="M25" s="398"/>
      <c r="N25" s="398"/>
      <c r="O25" s="415"/>
      <c r="P25" s="415"/>
    </row>
    <row r="26" spans="1:16" s="132" customFormat="1" x14ac:dyDescent="0.3">
      <c r="A26" s="136">
        <v>17</v>
      </c>
      <c r="B26" s="21" t="s">
        <v>36</v>
      </c>
      <c r="C26" s="179">
        <f>Määräytymistekijät!C27</f>
        <v>418205</v>
      </c>
      <c r="D26" s="262">
        <v>1806577523.4200702</v>
      </c>
      <c r="E26" s="262">
        <f>'SOTE laskennallinen rahoitus'!N80+'PELA laskennallinen rahoitus'!F62</f>
        <v>2011100586.5328426</v>
      </c>
      <c r="F26" s="177">
        <v>-32423163.389909267</v>
      </c>
      <c r="G26" s="291">
        <f t="shared" si="0"/>
        <v>1978677423.1429334</v>
      </c>
      <c r="H26" s="432">
        <f t="shared" si="1"/>
        <v>4731.3576431246238</v>
      </c>
      <c r="I26" s="281">
        <f t="shared" si="2"/>
        <v>172099899.7228632</v>
      </c>
      <c r="K26" s="398"/>
      <c r="L26" s="431"/>
      <c r="M26" s="398"/>
      <c r="N26" s="398"/>
      <c r="O26" s="415"/>
      <c r="P26" s="415"/>
    </row>
    <row r="27" spans="1:16" s="132" customFormat="1" x14ac:dyDescent="0.3">
      <c r="A27" s="136">
        <v>18</v>
      </c>
      <c r="B27" s="21" t="s">
        <v>37</v>
      </c>
      <c r="C27" s="179">
        <f>Määräytymistekijät!C28</f>
        <v>70164</v>
      </c>
      <c r="D27" s="262">
        <v>374309707.97411591</v>
      </c>
      <c r="E27" s="262">
        <f>'SOTE laskennallinen rahoitus'!N81+'PELA laskennallinen rahoitus'!F63</f>
        <v>405200967.2971679</v>
      </c>
      <c r="F27" s="177">
        <v>-1573544.0172842743</v>
      </c>
      <c r="G27" s="291">
        <f t="shared" si="0"/>
        <v>403627423.27988362</v>
      </c>
      <c r="H27" s="432">
        <f t="shared" si="1"/>
        <v>5752.6284601773505</v>
      </c>
      <c r="I27" s="281">
        <f t="shared" si="2"/>
        <v>29317715.305767715</v>
      </c>
      <c r="K27" s="398"/>
      <c r="L27" s="431"/>
      <c r="M27" s="398"/>
      <c r="N27" s="398"/>
      <c r="O27" s="415"/>
      <c r="P27" s="415"/>
    </row>
    <row r="28" spans="1:16" s="132" customFormat="1" x14ac:dyDescent="0.3">
      <c r="A28" s="136">
        <v>19</v>
      </c>
      <c r="B28" s="21" t="s">
        <v>38</v>
      </c>
      <c r="C28" s="179">
        <f>Määräytymistekijät!C29</f>
        <v>176150</v>
      </c>
      <c r="D28" s="262">
        <v>919190344.773893</v>
      </c>
      <c r="E28" s="137">
        <f>'SOTE laskennallinen rahoitus'!N82+'PELA laskennallinen rahoitus'!F64</f>
        <v>1057860816.2515478</v>
      </c>
      <c r="F28" s="177">
        <v>-49446782.767513871</v>
      </c>
      <c r="G28" s="291">
        <f t="shared" si="0"/>
        <v>1008414033.4840339</v>
      </c>
      <c r="H28" s="432">
        <f t="shared" si="1"/>
        <v>5724.7461452400448</v>
      </c>
      <c r="I28" s="281">
        <f t="shared" si="2"/>
        <v>89223688.710140944</v>
      </c>
      <c r="K28" s="398"/>
      <c r="L28" s="431"/>
      <c r="M28" s="398"/>
      <c r="N28" s="398"/>
      <c r="O28" s="415"/>
      <c r="P28" s="415"/>
    </row>
    <row r="29" spans="1:16" s="132" customFormat="1" x14ac:dyDescent="0.3">
      <c r="A29" s="180"/>
      <c r="B29" s="181" t="s">
        <v>39</v>
      </c>
      <c r="C29" s="209">
        <f>Määräytymistekijät!C30</f>
        <v>5573310</v>
      </c>
      <c r="D29" s="272">
        <v>24084008013.901051</v>
      </c>
      <c r="E29" s="138">
        <f>'SOTE laskennallinen rahoitus'!N83+'PELA laskennallinen rahoitus'!F65</f>
        <v>26302097129.463081</v>
      </c>
      <c r="F29" s="182">
        <v>-67101728.200279355</v>
      </c>
      <c r="G29" s="291">
        <f t="shared" si="0"/>
        <v>26234995401.262802</v>
      </c>
      <c r="H29" s="433">
        <f t="shared" si="1"/>
        <v>4707.2557243833198</v>
      </c>
      <c r="I29" s="282">
        <f t="shared" si="2"/>
        <v>2150987387.3617516</v>
      </c>
      <c r="K29" s="398"/>
      <c r="L29" s="431"/>
      <c r="M29" s="398"/>
      <c r="N29" s="398"/>
      <c r="O29" s="415"/>
      <c r="P29" s="415"/>
    </row>
    <row r="33" spans="5:8" x14ac:dyDescent="0.3">
      <c r="E33" s="403"/>
      <c r="F33" s="405"/>
      <c r="G33" s="183"/>
      <c r="H33" s="183"/>
    </row>
    <row r="34" spans="5:8" x14ac:dyDescent="0.3">
      <c r="E34" s="404"/>
      <c r="G34" s="183"/>
    </row>
  </sheetData>
  <mergeCells count="1">
    <mergeCell ref="A3:F3"/>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49"/>
  <sheetViews>
    <sheetView zoomScale="69" zoomScaleNormal="80" workbookViewId="0"/>
  </sheetViews>
  <sheetFormatPr defaultRowHeight="14" x14ac:dyDescent="0.3"/>
  <cols>
    <col min="1" max="1" width="83.9140625" style="125" customWidth="1"/>
    <col min="2" max="2" width="24.5" style="125" customWidth="1"/>
    <col min="3" max="3" width="14.58203125" customWidth="1"/>
    <col min="4" max="4" width="48.6640625" customWidth="1"/>
    <col min="5" max="5" width="14.83203125" customWidth="1"/>
    <col min="6" max="6" width="15.5" customWidth="1"/>
    <col min="7" max="7" width="15.83203125" customWidth="1"/>
    <col min="8" max="8" width="16.08203125" customWidth="1"/>
    <col min="9" max="9" width="18.75" customWidth="1"/>
    <col min="10" max="10" width="13.58203125" customWidth="1"/>
  </cols>
  <sheetData>
    <row r="1" spans="1:7" ht="20" x14ac:dyDescent="0.4">
      <c r="A1" s="267" t="s">
        <v>351</v>
      </c>
    </row>
    <row r="2" spans="1:7" x14ac:dyDescent="0.3">
      <c r="A2" s="199" t="str">
        <f>INFO!A2</f>
        <v>VM/KAO 23.9.2024</v>
      </c>
    </row>
    <row r="3" spans="1:7" ht="20" customHeight="1" x14ac:dyDescent="0.3">
      <c r="A3" s="443" t="s">
        <v>366</v>
      </c>
      <c r="B3" s="443"/>
    </row>
    <row r="4" spans="1:7" s="32" customFormat="1" ht="91" customHeight="1" x14ac:dyDescent="0.3">
      <c r="A4" s="444" t="s">
        <v>416</v>
      </c>
      <c r="B4" s="444"/>
    </row>
    <row r="5" spans="1:7" s="32" customFormat="1" ht="14.15" customHeight="1" x14ac:dyDescent="0.3">
      <c r="A5" s="31"/>
      <c r="B5" s="31"/>
      <c r="C5" s="184"/>
    </row>
    <row r="6" spans="1:7" s="32" customFormat="1" ht="14.15" customHeight="1" x14ac:dyDescent="0.3">
      <c r="A6" s="121" t="s">
        <v>352</v>
      </c>
      <c r="B6" s="126"/>
      <c r="D6" s="270" t="s">
        <v>327</v>
      </c>
      <c r="E6" s="270"/>
      <c r="F6" s="270"/>
    </row>
    <row r="7" spans="1:7" s="32" customFormat="1" ht="14.15" customHeight="1" x14ac:dyDescent="0.3">
      <c r="A7" s="31" t="s">
        <v>0</v>
      </c>
      <c r="B7" s="116" t="s">
        <v>1</v>
      </c>
      <c r="D7" s="32" t="s">
        <v>328</v>
      </c>
      <c r="E7" s="32" t="s">
        <v>324</v>
      </c>
      <c r="F7" s="32" t="s">
        <v>316</v>
      </c>
    </row>
    <row r="8" spans="1:7" s="32" customFormat="1" ht="14.15" customHeight="1" x14ac:dyDescent="0.3">
      <c r="A8" s="31" t="s">
        <v>307</v>
      </c>
      <c r="B8" s="409">
        <v>23676850928.8074</v>
      </c>
      <c r="C8" s="414"/>
      <c r="D8" s="32" t="s">
        <v>323</v>
      </c>
      <c r="E8" s="32">
        <v>0.6</v>
      </c>
      <c r="F8" s="421">
        <v>3.4</v>
      </c>
      <c r="G8" s="407"/>
    </row>
    <row r="9" spans="1:7" s="32" customFormat="1" ht="14.15" customHeight="1" x14ac:dyDescent="0.3">
      <c r="A9" s="31" t="s">
        <v>308</v>
      </c>
      <c r="B9" s="410">
        <v>511158995.65289009</v>
      </c>
      <c r="C9" s="414"/>
      <c r="D9" s="32" t="s">
        <v>325</v>
      </c>
      <c r="E9" s="32">
        <v>0.3</v>
      </c>
      <c r="F9" s="421">
        <v>1.4</v>
      </c>
    </row>
    <row r="10" spans="1:7" s="32" customFormat="1" ht="14.15" customHeight="1" x14ac:dyDescent="0.3">
      <c r="A10" s="123" t="s">
        <v>306</v>
      </c>
      <c r="B10" s="124">
        <f>B8+B9</f>
        <v>24188009924.460289</v>
      </c>
      <c r="C10" s="414"/>
      <c r="D10" s="32" t="s">
        <v>326</v>
      </c>
      <c r="E10" s="32">
        <v>0.1</v>
      </c>
      <c r="F10" s="421">
        <v>5.39</v>
      </c>
    </row>
    <row r="11" spans="1:7" s="32" customFormat="1" ht="14.15" customHeight="1" x14ac:dyDescent="0.35">
      <c r="A11" s="31"/>
      <c r="B11" s="411"/>
      <c r="C11" s="414"/>
      <c r="D11" s="271" t="s">
        <v>322</v>
      </c>
      <c r="E11" s="32">
        <v>1</v>
      </c>
      <c r="F11" s="422">
        <f>E8*F8+E9*F9+E10*F10</f>
        <v>2.9990000000000001</v>
      </c>
      <c r="G11" s="298"/>
    </row>
    <row r="12" spans="1:7" s="32" customFormat="1" ht="14.15" customHeight="1" x14ac:dyDescent="0.3">
      <c r="A12" s="31" t="s">
        <v>3</v>
      </c>
      <c r="B12" s="297">
        <f>(B8+35000)*((1.07%+0.2%)*80%)</f>
        <v>240557161.03668323</v>
      </c>
      <c r="C12" s="414"/>
    </row>
    <row r="13" spans="1:7" s="32" customFormat="1" ht="14.15" customHeight="1" x14ac:dyDescent="0.3">
      <c r="A13" s="31" t="s">
        <v>4</v>
      </c>
      <c r="B13" s="412">
        <f>(B8*1.03*(1+((1.07%+0.2%)*80%))-B8-B12)</f>
        <v>717521876.42732131</v>
      </c>
      <c r="C13" s="414"/>
      <c r="D13" s="394"/>
    </row>
    <row r="14" spans="1:7" s="32" customFormat="1" ht="14.15" customHeight="1" x14ac:dyDescent="0.3">
      <c r="A14" s="31" t="s">
        <v>5</v>
      </c>
      <c r="B14" s="412">
        <f>B9*0.03</f>
        <v>15334769.869586702</v>
      </c>
      <c r="C14" s="414"/>
      <c r="D14" s="394"/>
    </row>
    <row r="15" spans="1:7" s="32" customFormat="1" ht="14.15" customHeight="1" x14ac:dyDescent="0.3">
      <c r="A15" s="203"/>
      <c r="B15" s="413"/>
      <c r="C15" s="414"/>
      <c r="D15" s="394"/>
    </row>
    <row r="16" spans="1:7" s="32" customFormat="1" ht="14.15" customHeight="1" x14ac:dyDescent="0.3">
      <c r="A16" s="31" t="s">
        <v>386</v>
      </c>
      <c r="B16" s="412">
        <f>B43</f>
        <v>-271447000</v>
      </c>
      <c r="C16" s="414"/>
      <c r="D16" s="395"/>
    </row>
    <row r="17" spans="1:4" s="32" customFormat="1" ht="14.15" customHeight="1" x14ac:dyDescent="0.3">
      <c r="A17" s="31" t="s">
        <v>387</v>
      </c>
      <c r="B17" s="318">
        <v>0</v>
      </c>
      <c r="C17" s="414"/>
      <c r="D17" s="394"/>
    </row>
    <row r="18" spans="1:4" s="32" customFormat="1" ht="14.15" customHeight="1" x14ac:dyDescent="0.3">
      <c r="A18" s="31"/>
      <c r="B18" s="318"/>
      <c r="C18" s="414"/>
    </row>
    <row r="19" spans="1:4" s="32" customFormat="1" ht="14.15" customHeight="1" x14ac:dyDescent="0.3">
      <c r="A19" s="317" t="s">
        <v>347</v>
      </c>
      <c r="B19" s="318">
        <f>'Jälkikäteistarkistus 2025'!E18</f>
        <v>1358072499.2076964</v>
      </c>
      <c r="C19" s="414"/>
    </row>
    <row r="20" spans="1:4" s="32" customFormat="1" ht="14.15" customHeight="1" x14ac:dyDescent="0.3">
      <c r="A20" s="317" t="s">
        <v>348</v>
      </c>
      <c r="B20" s="318">
        <f>'Jälkikäteistarkistus 2025'!E19</f>
        <v>54047898.461504318</v>
      </c>
      <c r="C20" s="414"/>
    </row>
    <row r="21" spans="1:4" s="32" customFormat="1" ht="14.15" customHeight="1" x14ac:dyDescent="0.3">
      <c r="A21" s="317" t="s">
        <v>362</v>
      </c>
      <c r="B21" s="318">
        <f>'Jälkikäteistarkistus 2025'!E20</f>
        <v>1412120397.6692007</v>
      </c>
      <c r="C21" s="414"/>
    </row>
    <row r="22" spans="1:4" s="32" customFormat="1" ht="14.15" customHeight="1" x14ac:dyDescent="0.3">
      <c r="A22" s="31"/>
      <c r="B22" s="318"/>
      <c r="C22" s="414"/>
    </row>
    <row r="23" spans="1:4" s="32" customFormat="1" ht="14.15" customHeight="1" x14ac:dyDescent="0.3">
      <c r="A23" s="31" t="s">
        <v>353</v>
      </c>
      <c r="B23" s="297">
        <f>B8+B12+B13+B16+B19</f>
        <v>25721555465.479099</v>
      </c>
      <c r="C23" s="414"/>
    </row>
    <row r="24" spans="1:4" s="32" customFormat="1" ht="14.15" customHeight="1" x14ac:dyDescent="0.3">
      <c r="A24" s="31" t="s">
        <v>354</v>
      </c>
      <c r="B24" s="297">
        <f>B9+B14+B20</f>
        <v>580541663.98398113</v>
      </c>
      <c r="C24" s="414"/>
    </row>
    <row r="25" spans="1:4" s="32" customFormat="1" ht="14.15" customHeight="1" x14ac:dyDescent="0.3">
      <c r="A25" s="123" t="s">
        <v>355</v>
      </c>
      <c r="B25" s="124">
        <f>B23+B24</f>
        <v>26302097129.463081</v>
      </c>
      <c r="C25" s="414"/>
    </row>
    <row r="26" spans="1:4" s="32" customFormat="1" ht="14.15" customHeight="1" x14ac:dyDescent="0.3">
      <c r="A26" s="31" t="s">
        <v>367</v>
      </c>
      <c r="B26" s="297">
        <v>-67101728.200279355</v>
      </c>
      <c r="C26" s="414"/>
    </row>
    <row r="27" spans="1:4" s="32" customFormat="1" ht="14.15" customHeight="1" x14ac:dyDescent="0.3">
      <c r="A27" s="123" t="s">
        <v>334</v>
      </c>
      <c r="B27" s="124">
        <f>B25+B26</f>
        <v>26234995401.262802</v>
      </c>
      <c r="C27" s="414"/>
      <c r="D27" s="184"/>
    </row>
    <row r="28" spans="1:4" s="32" customFormat="1" ht="14.15" customHeight="1" x14ac:dyDescent="0.3">
      <c r="A28" s="31"/>
      <c r="B28" s="31"/>
    </row>
    <row r="29" spans="1:4" ht="14.5" x14ac:dyDescent="0.35">
      <c r="A29" s="408" t="s">
        <v>411</v>
      </c>
      <c r="B29" s="129" t="s">
        <v>1</v>
      </c>
      <c r="C29" s="348"/>
    </row>
    <row r="30" spans="1:4" x14ac:dyDescent="0.3">
      <c r="A30" s="128" t="s">
        <v>2</v>
      </c>
      <c r="B30" s="349">
        <v>14800000</v>
      </c>
      <c r="C30" s="204"/>
    </row>
    <row r="31" spans="1:4" x14ac:dyDescent="0.3">
      <c r="A31" s="128" t="s">
        <v>196</v>
      </c>
      <c r="B31" s="350">
        <v>2600000</v>
      </c>
      <c r="C31" s="218"/>
    </row>
    <row r="32" spans="1:4" x14ac:dyDescent="0.3">
      <c r="A32" s="128" t="s">
        <v>197</v>
      </c>
      <c r="B32" s="349">
        <v>-305000</v>
      </c>
      <c r="C32" s="218"/>
    </row>
    <row r="33" spans="1:3" x14ac:dyDescent="0.3">
      <c r="A33" s="128" t="s">
        <v>330</v>
      </c>
      <c r="B33" s="349">
        <v>22168000</v>
      </c>
      <c r="C33" s="218"/>
    </row>
    <row r="34" spans="1:3" x14ac:dyDescent="0.3">
      <c r="A34" s="128" t="s">
        <v>331</v>
      </c>
      <c r="B34" s="350">
        <v>-25000000</v>
      </c>
      <c r="C34" s="218"/>
    </row>
    <row r="35" spans="1:3" x14ac:dyDescent="0.3">
      <c r="A35" s="353" t="s">
        <v>421</v>
      </c>
      <c r="B35" s="349">
        <v>-96200000</v>
      </c>
      <c r="C35" s="218"/>
    </row>
    <row r="36" spans="1:3" x14ac:dyDescent="0.3">
      <c r="A36" s="128" t="s">
        <v>422</v>
      </c>
      <c r="B36" s="349">
        <v>-150000000</v>
      </c>
      <c r="C36" s="218"/>
    </row>
    <row r="37" spans="1:3" x14ac:dyDescent="0.3">
      <c r="A37" s="128" t="s">
        <v>332</v>
      </c>
      <c r="B37" s="350">
        <v>-12000000</v>
      </c>
      <c r="C37" s="218"/>
    </row>
    <row r="38" spans="1:3" x14ac:dyDescent="0.3">
      <c r="A38" s="128" t="s">
        <v>423</v>
      </c>
      <c r="B38" s="352">
        <v>24800000</v>
      </c>
      <c r="C38" s="218"/>
    </row>
    <row r="39" spans="1:3" x14ac:dyDescent="0.3">
      <c r="A39" s="351" t="s">
        <v>333</v>
      </c>
      <c r="B39" s="352">
        <v>-310000</v>
      </c>
      <c r="C39" s="218"/>
    </row>
    <row r="40" spans="1:3" x14ac:dyDescent="0.3">
      <c r="A40" s="353" t="s">
        <v>349</v>
      </c>
      <c r="B40" s="354">
        <v>-45000000</v>
      </c>
      <c r="C40" s="218"/>
    </row>
    <row r="41" spans="1:3" x14ac:dyDescent="0.3">
      <c r="A41" s="353" t="s">
        <v>378</v>
      </c>
      <c r="B41" s="354">
        <v>-2000000</v>
      </c>
      <c r="C41" s="218"/>
    </row>
    <row r="42" spans="1:3" x14ac:dyDescent="0.3">
      <c r="A42" s="355" t="s">
        <v>350</v>
      </c>
      <c r="B42" s="354">
        <v>-5000000</v>
      </c>
      <c r="C42" s="218"/>
    </row>
    <row r="43" spans="1:3" x14ac:dyDescent="0.3">
      <c r="A43" s="143" t="s">
        <v>379</v>
      </c>
      <c r="B43" s="131">
        <f>SUM(B30:B42)</f>
        <v>-271447000</v>
      </c>
      <c r="C43" s="399"/>
    </row>
    <row r="44" spans="1:3" x14ac:dyDescent="0.3">
      <c r="B44" s="130"/>
      <c r="C44" s="199"/>
    </row>
    <row r="45" spans="1:3" x14ac:dyDescent="0.3">
      <c r="B45" s="130"/>
      <c r="C45" s="384"/>
    </row>
    <row r="46" spans="1:3" x14ac:dyDescent="0.3">
      <c r="B46" s="130"/>
      <c r="C46" s="384"/>
    </row>
    <row r="47" spans="1:3" x14ac:dyDescent="0.3">
      <c r="B47" s="130"/>
      <c r="C47" s="384"/>
    </row>
    <row r="48" spans="1:3" x14ac:dyDescent="0.3">
      <c r="B48" s="130"/>
      <c r="C48" s="384"/>
    </row>
    <row r="49" spans="2:2" x14ac:dyDescent="0.3">
      <c r="B49" s="122"/>
    </row>
  </sheetData>
  <mergeCells count="2">
    <mergeCell ref="A3:B3"/>
    <mergeCell ref="A4:B4"/>
  </mergeCells>
  <pageMargins left="0.7" right="0.7" top="0.75" bottom="0.75" header="0.3" footer="0.3"/>
  <pageSetup paperSize="9" orientation="portrait"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R46"/>
  <sheetViews>
    <sheetView zoomScale="67" zoomScaleNormal="60" workbookViewId="0"/>
  </sheetViews>
  <sheetFormatPr defaultRowHeight="14" x14ac:dyDescent="0.3"/>
  <cols>
    <col min="1" max="2" width="20.58203125" customWidth="1"/>
    <col min="3" max="3" width="20.5" customWidth="1"/>
    <col min="4" max="4" width="20.58203125" customWidth="1"/>
    <col min="5" max="5" width="22.4140625" customWidth="1"/>
    <col min="6" max="6" width="23" customWidth="1"/>
    <col min="7" max="7" width="22" customWidth="1"/>
    <col min="8" max="8" width="21.75" customWidth="1"/>
    <col min="9" max="9" width="23.33203125" customWidth="1"/>
    <col min="10" max="10" width="23.58203125" customWidth="1"/>
    <col min="11" max="11" width="20" customWidth="1"/>
    <col min="16" max="16" width="12" customWidth="1"/>
    <col min="17" max="17" width="10" bestFit="1" customWidth="1"/>
    <col min="18" max="18" width="11.6640625" bestFit="1" customWidth="1"/>
  </cols>
  <sheetData>
    <row r="1" spans="1:11" ht="20" x14ac:dyDescent="0.4">
      <c r="A1" s="267" t="s">
        <v>396</v>
      </c>
    </row>
    <row r="2" spans="1:11" x14ac:dyDescent="0.3">
      <c r="A2" s="199" t="str">
        <f>INFO!A2</f>
        <v>VM/KAO 23.9.2024</v>
      </c>
      <c r="C2" s="125"/>
    </row>
    <row r="3" spans="1:11" ht="77" customHeight="1" x14ac:dyDescent="0.3">
      <c r="A3" s="445" t="s">
        <v>417</v>
      </c>
      <c r="B3" s="445"/>
      <c r="C3" s="445"/>
      <c r="D3" s="445"/>
      <c r="E3" s="445"/>
      <c r="F3" s="445"/>
    </row>
    <row r="4" spans="1:11" ht="65.5" customHeight="1" x14ac:dyDescent="0.3">
      <c r="A4" s="446" t="s">
        <v>418</v>
      </c>
      <c r="B4" s="446"/>
      <c r="C4" s="446"/>
      <c r="D4" s="446"/>
      <c r="E4" s="446"/>
      <c r="F4" s="446"/>
    </row>
    <row r="5" spans="1:11" ht="24.5" customHeight="1" x14ac:dyDescent="0.3">
      <c r="A5" s="447" t="s">
        <v>397</v>
      </c>
      <c r="B5" s="447"/>
      <c r="C5" s="447"/>
      <c r="D5" s="447"/>
      <c r="E5" s="447"/>
      <c r="F5" s="447"/>
    </row>
    <row r="6" spans="1:11" x14ac:dyDescent="0.3">
      <c r="B6" s="125"/>
      <c r="C6" s="125"/>
    </row>
    <row r="7" spans="1:11" ht="14.5" thickBot="1" x14ac:dyDescent="0.35">
      <c r="A7" s="314" t="s">
        <v>405</v>
      </c>
      <c r="B7" s="270"/>
      <c r="C7" s="270"/>
      <c r="D7" s="270"/>
      <c r="E7" s="270"/>
    </row>
    <row r="8" spans="1:11" x14ac:dyDescent="0.3">
      <c r="A8" s="372"/>
      <c r="B8" s="373"/>
      <c r="C8" s="373"/>
      <c r="D8" s="373"/>
      <c r="E8" s="380" t="s">
        <v>1</v>
      </c>
    </row>
    <row r="9" spans="1:11" x14ac:dyDescent="0.3">
      <c r="A9" s="376" t="s">
        <v>380</v>
      </c>
      <c r="B9" s="377"/>
      <c r="C9" s="377"/>
      <c r="D9" s="370"/>
      <c r="E9" s="436">
        <f>I46</f>
        <v>-1264856089.2108078</v>
      </c>
      <c r="F9" s="32"/>
      <c r="G9" s="400"/>
      <c r="H9" s="385"/>
    </row>
    <row r="10" spans="1:11" x14ac:dyDescent="0.3">
      <c r="A10" s="376" t="s">
        <v>381</v>
      </c>
      <c r="B10" s="377"/>
      <c r="C10" s="377"/>
      <c r="D10" s="370"/>
      <c r="E10" s="436">
        <f>J46</f>
        <v>-51485172.514426231</v>
      </c>
      <c r="F10" s="303"/>
      <c r="G10" s="400"/>
      <c r="H10" s="385"/>
    </row>
    <row r="11" spans="1:11" x14ac:dyDescent="0.3">
      <c r="A11" s="378" t="s">
        <v>365</v>
      </c>
      <c r="B11" s="379"/>
      <c r="C11" s="379"/>
      <c r="D11" s="370"/>
      <c r="E11" s="437">
        <f>E9+E10</f>
        <v>-1316341261.725234</v>
      </c>
      <c r="F11" s="303"/>
      <c r="G11" s="401"/>
      <c r="I11" s="304"/>
    </row>
    <row r="12" spans="1:11" x14ac:dyDescent="0.3">
      <c r="A12" s="376"/>
      <c r="B12" s="377"/>
      <c r="C12" s="377"/>
      <c r="D12" s="370"/>
      <c r="E12" s="315"/>
      <c r="F12" s="303"/>
      <c r="G12" s="400"/>
      <c r="H12" s="387"/>
      <c r="I12" s="386"/>
    </row>
    <row r="13" spans="1:11" ht="14.5" x14ac:dyDescent="0.35">
      <c r="A13" s="376" t="s">
        <v>360</v>
      </c>
      <c r="B13" s="377"/>
      <c r="C13" s="377"/>
      <c r="D13" s="370"/>
      <c r="E13" s="424">
        <v>1.9199999999999998E-2</v>
      </c>
      <c r="F13" s="348"/>
      <c r="G13" s="402"/>
      <c r="H13" s="387"/>
      <c r="I13" s="387"/>
      <c r="J13" s="304"/>
      <c r="K13" s="388"/>
    </row>
    <row r="14" spans="1:11" x14ac:dyDescent="0.3">
      <c r="A14" s="376" t="s">
        <v>377</v>
      </c>
      <c r="B14" s="377"/>
      <c r="C14" s="377"/>
      <c r="D14" s="370"/>
      <c r="E14" s="424">
        <f>1.05%+0.2%</f>
        <v>1.2500000000000001E-2</v>
      </c>
      <c r="F14" s="397"/>
      <c r="G14" s="402"/>
      <c r="H14" s="387"/>
      <c r="I14" s="387"/>
      <c r="J14" s="304"/>
      <c r="K14" s="388"/>
    </row>
    <row r="15" spans="1:11" x14ac:dyDescent="0.3">
      <c r="A15" s="376" t="s">
        <v>361</v>
      </c>
      <c r="B15" s="377"/>
      <c r="C15" s="377"/>
      <c r="D15" s="370"/>
      <c r="E15" s="424">
        <v>0.03</v>
      </c>
      <c r="G15" s="402"/>
      <c r="I15" s="304"/>
      <c r="J15" s="386"/>
    </row>
    <row r="16" spans="1:11" x14ac:dyDescent="0.3">
      <c r="A16" s="376" t="s">
        <v>376</v>
      </c>
      <c r="B16" s="377"/>
      <c r="C16" s="377"/>
      <c r="D16" s="370"/>
      <c r="E16" s="424">
        <f>(1.07%+0.2%)*80%</f>
        <v>1.0160000000000002E-2</v>
      </c>
      <c r="F16" s="303"/>
      <c r="G16" s="402"/>
    </row>
    <row r="17" spans="1:18" x14ac:dyDescent="0.3">
      <c r="A17" s="376"/>
      <c r="B17" s="377"/>
      <c r="C17" s="377"/>
      <c r="D17" s="370"/>
      <c r="E17" s="315"/>
      <c r="F17" s="303"/>
      <c r="G17" s="400"/>
      <c r="J17" s="386"/>
    </row>
    <row r="18" spans="1:18" x14ac:dyDescent="0.3">
      <c r="A18" s="376" t="s">
        <v>363</v>
      </c>
      <c r="B18" s="377"/>
      <c r="C18" s="377"/>
      <c r="D18" s="370"/>
      <c r="E18" s="315">
        <f>-E9*(1+E13)*(1+E14)*(1+E15)*(1+E16)</f>
        <v>1358072499.2076964</v>
      </c>
      <c r="G18" s="400"/>
      <c r="I18" s="304"/>
      <c r="J18" s="386"/>
      <c r="K18" s="303"/>
    </row>
    <row r="19" spans="1:18" x14ac:dyDescent="0.3">
      <c r="A19" s="376" t="s">
        <v>364</v>
      </c>
      <c r="B19" s="377"/>
      <c r="C19" s="377"/>
      <c r="D19" s="370"/>
      <c r="E19" s="315">
        <f>-E10*(1+E13)*(1+E15)</f>
        <v>54047898.461504318</v>
      </c>
      <c r="G19" s="400"/>
      <c r="I19" s="304"/>
      <c r="J19" s="386"/>
      <c r="K19" s="303"/>
    </row>
    <row r="20" spans="1:18" x14ac:dyDescent="0.3">
      <c r="A20" s="374" t="s">
        <v>359</v>
      </c>
      <c r="B20" s="375"/>
      <c r="C20" s="375"/>
      <c r="D20" s="371"/>
      <c r="E20" s="316">
        <f>E18+E19</f>
        <v>1412120397.6692007</v>
      </c>
      <c r="G20" s="401"/>
      <c r="I20" s="304"/>
      <c r="K20" s="303"/>
    </row>
    <row r="21" spans="1:18" ht="36.5" customHeight="1" x14ac:dyDescent="0.3"/>
    <row r="22" spans="1:18" s="266" customFormat="1" ht="14.5" thickBot="1" x14ac:dyDescent="0.35">
      <c r="A22" s="312" t="s">
        <v>382</v>
      </c>
      <c r="B22" s="313"/>
      <c r="C22" s="313"/>
      <c r="D22" s="313"/>
      <c r="E22" s="313"/>
      <c r="F22" s="313"/>
      <c r="G22" s="313"/>
      <c r="H22" s="313"/>
      <c r="I22" s="313"/>
      <c r="J22" s="313"/>
    </row>
    <row r="23" spans="1:18" ht="77" customHeight="1" x14ac:dyDescent="0.3">
      <c r="A23" s="306" t="s">
        <v>8</v>
      </c>
      <c r="B23" s="306" t="s">
        <v>9</v>
      </c>
      <c r="C23" s="305" t="s">
        <v>407</v>
      </c>
      <c r="D23" s="276" t="s">
        <v>408</v>
      </c>
      <c r="E23" s="139" t="s">
        <v>356</v>
      </c>
      <c r="F23" s="139" t="s">
        <v>398</v>
      </c>
      <c r="G23" s="139" t="s">
        <v>399</v>
      </c>
      <c r="H23" s="276" t="s">
        <v>400</v>
      </c>
      <c r="I23" s="276" t="s">
        <v>357</v>
      </c>
      <c r="J23" s="280" t="s">
        <v>358</v>
      </c>
    </row>
    <row r="24" spans="1:18" x14ac:dyDescent="0.3">
      <c r="A24" s="307">
        <v>31</v>
      </c>
      <c r="B24" s="308" t="s">
        <v>17</v>
      </c>
      <c r="C24" s="304">
        <v>2552048083.0343776</v>
      </c>
      <c r="D24" s="304">
        <v>48859165.333431818</v>
      </c>
      <c r="E24" s="304">
        <v>2600907248.3678093</v>
      </c>
      <c r="F24" s="425">
        <v>2519359438.6399999</v>
      </c>
      <c r="G24" s="425">
        <v>52564057.859999999</v>
      </c>
      <c r="H24" s="426">
        <v>2571923496.5</v>
      </c>
      <c r="I24" s="304">
        <f t="shared" ref="I24:I46" si="0">C24-F24</f>
        <v>32688644.394377708</v>
      </c>
      <c r="J24" s="304">
        <f t="shared" ref="J24:J46" si="1">D24-G24</f>
        <v>-3704892.5265681818</v>
      </c>
      <c r="M24" s="396"/>
      <c r="O24" s="396"/>
      <c r="P24" s="429"/>
      <c r="Q24" s="429"/>
      <c r="R24" s="429"/>
    </row>
    <row r="25" spans="1:18" x14ac:dyDescent="0.3">
      <c r="A25" s="307">
        <v>32</v>
      </c>
      <c r="B25" s="308" t="s">
        <v>49</v>
      </c>
      <c r="C25" s="304">
        <v>980783143.85804737</v>
      </c>
      <c r="D25" s="304">
        <v>14643537.700430935</v>
      </c>
      <c r="E25" s="304">
        <v>995426681.55847836</v>
      </c>
      <c r="F25" s="425">
        <v>1082295077.4200001</v>
      </c>
      <c r="G25" s="425">
        <v>17497578.52</v>
      </c>
      <c r="H25" s="426">
        <v>1099792655.9400001</v>
      </c>
      <c r="I25" s="304">
        <f t="shared" si="0"/>
        <v>-101511933.56195271</v>
      </c>
      <c r="J25" s="304">
        <f t="shared" si="1"/>
        <v>-2854040.8195690643</v>
      </c>
      <c r="M25" s="396"/>
      <c r="O25" s="396"/>
      <c r="P25" s="429"/>
      <c r="Q25" s="429"/>
      <c r="R25" s="429"/>
    </row>
    <row r="26" spans="1:18" x14ac:dyDescent="0.3">
      <c r="A26" s="307">
        <v>33</v>
      </c>
      <c r="B26" s="308" t="s">
        <v>19</v>
      </c>
      <c r="C26" s="304">
        <v>1635762454.8825238</v>
      </c>
      <c r="D26" s="304">
        <v>31905123.164145995</v>
      </c>
      <c r="E26" s="304">
        <v>1667667578.0466697</v>
      </c>
      <c r="F26" s="425">
        <v>1734416610.1199999</v>
      </c>
      <c r="G26" s="425">
        <v>40274955.75</v>
      </c>
      <c r="H26" s="426">
        <v>1774691565.8699999</v>
      </c>
      <c r="I26" s="304">
        <f t="shared" si="0"/>
        <v>-98654155.23747611</v>
      </c>
      <c r="J26" s="304">
        <f t="shared" si="1"/>
        <v>-8369832.5858540051</v>
      </c>
      <c r="M26" s="396"/>
      <c r="O26" s="396"/>
      <c r="P26" s="429"/>
      <c r="Q26" s="429"/>
      <c r="R26" s="429"/>
    </row>
    <row r="27" spans="1:18" x14ac:dyDescent="0.3">
      <c r="A27" s="307">
        <v>34</v>
      </c>
      <c r="B27" s="308" t="s">
        <v>20</v>
      </c>
      <c r="C27" s="304">
        <v>363561247.64513993</v>
      </c>
      <c r="D27" s="304">
        <v>11762385.029649287</v>
      </c>
      <c r="E27" s="304">
        <v>375323632.67478919</v>
      </c>
      <c r="F27" s="425">
        <v>396406743.38999999</v>
      </c>
      <c r="G27" s="425">
        <v>13485657.810000001</v>
      </c>
      <c r="H27" s="426">
        <v>409892401.19999999</v>
      </c>
      <c r="I27" s="304">
        <f t="shared" si="0"/>
        <v>-32845495.744860053</v>
      </c>
      <c r="J27" s="304">
        <f t="shared" si="1"/>
        <v>-1723272.7803507131</v>
      </c>
      <c r="M27" s="396"/>
      <c r="O27" s="396"/>
      <c r="P27" s="429"/>
      <c r="Q27" s="429"/>
      <c r="R27" s="429"/>
    </row>
    <row r="28" spans="1:18" x14ac:dyDescent="0.3">
      <c r="A28" s="307">
        <v>35</v>
      </c>
      <c r="B28" s="308" t="s">
        <v>21</v>
      </c>
      <c r="C28" s="304">
        <v>749939611.17268932</v>
      </c>
      <c r="D28" s="304">
        <v>14760214.917464264</v>
      </c>
      <c r="E28" s="304">
        <v>764699826.09015357</v>
      </c>
      <c r="F28" s="425">
        <v>814978870.90999997</v>
      </c>
      <c r="G28" s="425">
        <v>16300000</v>
      </c>
      <c r="H28" s="426">
        <v>831278870.90999997</v>
      </c>
      <c r="I28" s="304">
        <f t="shared" si="0"/>
        <v>-65039259.737310648</v>
      </c>
      <c r="J28" s="304">
        <f t="shared" si="1"/>
        <v>-1539785.0825357363</v>
      </c>
      <c r="M28" s="396"/>
      <c r="O28" s="396"/>
      <c r="P28" s="429"/>
      <c r="Q28" s="429"/>
      <c r="R28" s="429"/>
    </row>
    <row r="29" spans="1:18" x14ac:dyDescent="0.3">
      <c r="A29" s="309">
        <v>2</v>
      </c>
      <c r="B29" s="308" t="s">
        <v>22</v>
      </c>
      <c r="C29" s="304">
        <v>1944750087.5140536</v>
      </c>
      <c r="D29" s="304">
        <v>40056226.276860252</v>
      </c>
      <c r="E29" s="304">
        <v>1984806313.7909138</v>
      </c>
      <c r="F29" s="425">
        <v>2091666794.52</v>
      </c>
      <c r="G29" s="425">
        <v>41327613.400000006</v>
      </c>
      <c r="H29" s="426">
        <v>2132994407.9200001</v>
      </c>
      <c r="I29" s="304">
        <f t="shared" si="0"/>
        <v>-146916707.0059464</v>
      </c>
      <c r="J29" s="304">
        <f t="shared" si="1"/>
        <v>-1271387.1231397539</v>
      </c>
      <c r="M29" s="396"/>
      <c r="O29" s="396"/>
      <c r="P29" s="429"/>
      <c r="Q29" s="429"/>
      <c r="R29" s="429"/>
    </row>
    <row r="30" spans="1:18" x14ac:dyDescent="0.3">
      <c r="A30" s="309">
        <v>4</v>
      </c>
      <c r="B30" s="308" t="s">
        <v>23</v>
      </c>
      <c r="C30" s="304">
        <v>948099319.62337327</v>
      </c>
      <c r="D30" s="304">
        <v>22807693.168584544</v>
      </c>
      <c r="E30" s="304">
        <v>970907012.79195786</v>
      </c>
      <c r="F30" s="425">
        <v>996865984.30999994</v>
      </c>
      <c r="G30" s="425">
        <v>26401335.18</v>
      </c>
      <c r="H30" s="426">
        <v>1023267319.4899999</v>
      </c>
      <c r="I30" s="304">
        <f t="shared" si="0"/>
        <v>-48766664.686626673</v>
      </c>
      <c r="J30" s="304">
        <f t="shared" si="1"/>
        <v>-3593642.0114154555</v>
      </c>
      <c r="M30" s="396"/>
      <c r="O30" s="396"/>
      <c r="P30" s="429"/>
      <c r="Q30" s="429"/>
      <c r="R30" s="429"/>
    </row>
    <row r="31" spans="1:18" x14ac:dyDescent="0.3">
      <c r="A31" s="309">
        <v>5</v>
      </c>
      <c r="B31" s="308" t="s">
        <v>24</v>
      </c>
      <c r="C31" s="304">
        <v>699792391.20889378</v>
      </c>
      <c r="D31" s="304">
        <v>14108591.918091388</v>
      </c>
      <c r="E31" s="304">
        <v>713900983.12698519</v>
      </c>
      <c r="F31" s="425">
        <v>758654530</v>
      </c>
      <c r="G31" s="425">
        <v>14818289</v>
      </c>
      <c r="H31" s="426">
        <v>773472819</v>
      </c>
      <c r="I31" s="304">
        <f t="shared" si="0"/>
        <v>-58862138.791106224</v>
      </c>
      <c r="J31" s="304">
        <f t="shared" si="1"/>
        <v>-709697.08190861158</v>
      </c>
      <c r="M31" s="396"/>
      <c r="O31" s="396"/>
      <c r="P31" s="429"/>
      <c r="Q31" s="429"/>
      <c r="R31" s="429"/>
    </row>
    <row r="32" spans="1:18" x14ac:dyDescent="0.3">
      <c r="A32" s="309">
        <v>6</v>
      </c>
      <c r="B32" s="308" t="s">
        <v>25</v>
      </c>
      <c r="C32" s="304">
        <v>2119352861.1312327</v>
      </c>
      <c r="D32" s="304">
        <v>43832741.28366223</v>
      </c>
      <c r="E32" s="304">
        <v>2163185602.4148951</v>
      </c>
      <c r="F32" s="425">
        <v>2255969099.5</v>
      </c>
      <c r="G32" s="425">
        <v>43500687.999999993</v>
      </c>
      <c r="H32" s="426">
        <v>2299469787.5</v>
      </c>
      <c r="I32" s="304">
        <f t="shared" si="0"/>
        <v>-136616238.36876726</v>
      </c>
      <c r="J32" s="304">
        <f t="shared" si="1"/>
        <v>332053.28366223723</v>
      </c>
      <c r="M32" s="396"/>
      <c r="O32" s="396"/>
      <c r="P32" s="429"/>
      <c r="Q32" s="429"/>
      <c r="R32" s="429"/>
    </row>
    <row r="33" spans="1:18" x14ac:dyDescent="0.3">
      <c r="A33" s="309">
        <v>7</v>
      </c>
      <c r="B33" s="308" t="s">
        <v>26</v>
      </c>
      <c r="C33" s="304">
        <v>839745056.56650305</v>
      </c>
      <c r="D33" s="304">
        <v>21927778.721404564</v>
      </c>
      <c r="E33" s="304">
        <v>861672835.2879076</v>
      </c>
      <c r="F33" s="425">
        <v>888091052.01999998</v>
      </c>
      <c r="G33" s="425">
        <v>20297209.380000003</v>
      </c>
      <c r="H33" s="426">
        <v>908388261.39999998</v>
      </c>
      <c r="I33" s="304">
        <f t="shared" si="0"/>
        <v>-48345995.453496933</v>
      </c>
      <c r="J33" s="304">
        <f t="shared" si="1"/>
        <v>1630569.341404561</v>
      </c>
      <c r="M33" s="396"/>
      <c r="O33" s="396"/>
      <c r="P33" s="429"/>
      <c r="Q33" s="429"/>
      <c r="R33" s="429"/>
    </row>
    <row r="34" spans="1:18" x14ac:dyDescent="0.3">
      <c r="A34" s="309">
        <v>8</v>
      </c>
      <c r="B34" s="308" t="s">
        <v>27</v>
      </c>
      <c r="C34" s="304">
        <v>786639061.95018768</v>
      </c>
      <c r="D34" s="304">
        <v>19315044.033488598</v>
      </c>
      <c r="E34" s="304">
        <v>805954105.98367631</v>
      </c>
      <c r="F34" s="425">
        <v>817021524.59000003</v>
      </c>
      <c r="G34" s="425">
        <v>19959892.170000002</v>
      </c>
      <c r="H34" s="426">
        <v>836981416.75999999</v>
      </c>
      <c r="I34" s="304">
        <f t="shared" si="0"/>
        <v>-30382462.63981235</v>
      </c>
      <c r="J34" s="304">
        <f t="shared" si="1"/>
        <v>-644848.13651140407</v>
      </c>
      <c r="M34" s="396"/>
      <c r="O34" s="396"/>
      <c r="P34" s="429"/>
      <c r="Q34" s="429"/>
      <c r="R34" s="429"/>
    </row>
    <row r="35" spans="1:18" x14ac:dyDescent="0.3">
      <c r="A35" s="309">
        <v>9</v>
      </c>
      <c r="B35" s="308" t="s">
        <v>28</v>
      </c>
      <c r="C35" s="304">
        <v>540031632.02834725</v>
      </c>
      <c r="D35" s="304">
        <v>14156828.857258011</v>
      </c>
      <c r="E35" s="304">
        <v>554188460.88560522</v>
      </c>
      <c r="F35" s="425">
        <v>566857441.61000001</v>
      </c>
      <c r="G35" s="425">
        <v>17050718.75</v>
      </c>
      <c r="H35" s="426">
        <v>583908160.36000001</v>
      </c>
      <c r="I35" s="304">
        <f t="shared" si="0"/>
        <v>-26825809.581652761</v>
      </c>
      <c r="J35" s="304">
        <f t="shared" si="1"/>
        <v>-2893889.8927419893</v>
      </c>
      <c r="M35" s="396"/>
      <c r="O35" s="396"/>
      <c r="P35" s="429"/>
      <c r="Q35" s="429"/>
      <c r="R35" s="429"/>
    </row>
    <row r="36" spans="1:18" x14ac:dyDescent="0.3">
      <c r="A36" s="309">
        <v>10</v>
      </c>
      <c r="B36" s="308" t="s">
        <v>29</v>
      </c>
      <c r="C36" s="304">
        <v>680008189.00327933</v>
      </c>
      <c r="D36" s="304">
        <v>14495555.578946047</v>
      </c>
      <c r="E36" s="304">
        <v>694503744.58222532</v>
      </c>
      <c r="F36" s="425">
        <v>714704942.68999994</v>
      </c>
      <c r="G36" s="425">
        <v>22661029.390000001</v>
      </c>
      <c r="H36" s="426">
        <v>737365972.07999992</v>
      </c>
      <c r="I36" s="304">
        <f t="shared" si="0"/>
        <v>-34696753.68672061</v>
      </c>
      <c r="J36" s="304">
        <f t="shared" si="1"/>
        <v>-8165473.8110539541</v>
      </c>
      <c r="M36" s="396"/>
      <c r="O36" s="396"/>
      <c r="P36" s="429"/>
      <c r="Q36" s="429"/>
      <c r="R36" s="429"/>
    </row>
    <row r="37" spans="1:18" x14ac:dyDescent="0.3">
      <c r="A37" s="309">
        <v>11</v>
      </c>
      <c r="B37" s="308" t="s">
        <v>30</v>
      </c>
      <c r="C37" s="304">
        <v>1149288005.4847913</v>
      </c>
      <c r="D37" s="304">
        <v>25516203.042637322</v>
      </c>
      <c r="E37" s="304">
        <v>1174804208.5274286</v>
      </c>
      <c r="F37" s="425">
        <v>1203844944.5699999</v>
      </c>
      <c r="G37" s="425">
        <v>34166863.460000001</v>
      </c>
      <c r="H37" s="426">
        <v>1238011808.03</v>
      </c>
      <c r="I37" s="304">
        <f t="shared" si="0"/>
        <v>-54556939.085208654</v>
      </c>
      <c r="J37" s="304">
        <f t="shared" si="1"/>
        <v>-8650660.4173626788</v>
      </c>
      <c r="M37" s="396"/>
      <c r="O37" s="396"/>
      <c r="P37" s="429"/>
      <c r="Q37" s="429"/>
      <c r="R37" s="429"/>
    </row>
    <row r="38" spans="1:18" x14ac:dyDescent="0.3">
      <c r="A38" s="309">
        <v>12</v>
      </c>
      <c r="B38" s="308" t="s">
        <v>31</v>
      </c>
      <c r="C38" s="304">
        <v>739027584.47637582</v>
      </c>
      <c r="D38" s="304">
        <v>17082611.161160089</v>
      </c>
      <c r="E38" s="304">
        <v>756110195.63753593</v>
      </c>
      <c r="F38" s="425">
        <v>762455215.47000003</v>
      </c>
      <c r="G38" s="425">
        <v>16643826.990000002</v>
      </c>
      <c r="H38" s="426">
        <v>779099042.46000004</v>
      </c>
      <c r="I38" s="304">
        <f t="shared" si="0"/>
        <v>-23427630.99362421</v>
      </c>
      <c r="J38" s="304">
        <f t="shared" si="1"/>
        <v>438784.17116008699</v>
      </c>
      <c r="M38" s="396"/>
      <c r="O38" s="396"/>
      <c r="P38" s="429"/>
      <c r="Q38" s="429"/>
      <c r="R38" s="429"/>
    </row>
    <row r="39" spans="1:18" x14ac:dyDescent="0.3">
      <c r="A39" s="309">
        <v>13</v>
      </c>
      <c r="B39" s="308" t="s">
        <v>32</v>
      </c>
      <c r="C39" s="304">
        <v>1131378675.7413464</v>
      </c>
      <c r="D39" s="304">
        <v>27484656.830657143</v>
      </c>
      <c r="E39" s="304">
        <v>1158863332.5720036</v>
      </c>
      <c r="F39" s="425">
        <v>1242240901</v>
      </c>
      <c r="G39" s="425">
        <v>30811478</v>
      </c>
      <c r="H39" s="426">
        <v>1273052379</v>
      </c>
      <c r="I39" s="304">
        <f t="shared" si="0"/>
        <v>-110862225.25865364</v>
      </c>
      <c r="J39" s="304">
        <f t="shared" si="1"/>
        <v>-3326821.1693428569</v>
      </c>
      <c r="M39" s="396"/>
      <c r="O39" s="396"/>
      <c r="P39" s="429"/>
      <c r="Q39" s="429"/>
      <c r="R39" s="429"/>
    </row>
    <row r="40" spans="1:18" x14ac:dyDescent="0.3">
      <c r="A40" s="309">
        <v>14</v>
      </c>
      <c r="B40" s="308" t="s">
        <v>33</v>
      </c>
      <c r="C40" s="304">
        <v>864935656.17525864</v>
      </c>
      <c r="D40" s="304">
        <v>20423561.38701823</v>
      </c>
      <c r="E40" s="304">
        <v>885359217.56227684</v>
      </c>
      <c r="F40" s="425">
        <v>908936272.48999989</v>
      </c>
      <c r="G40" s="425">
        <v>22073021.329999998</v>
      </c>
      <c r="H40" s="426">
        <v>931009293.81999993</v>
      </c>
      <c r="I40" s="304">
        <f t="shared" si="0"/>
        <v>-44000616.314741254</v>
      </c>
      <c r="J40" s="304">
        <f t="shared" si="1"/>
        <v>-1649459.9429817684</v>
      </c>
      <c r="M40" s="396"/>
      <c r="O40" s="396"/>
      <c r="P40" s="429"/>
      <c r="Q40" s="429"/>
      <c r="R40" s="429"/>
    </row>
    <row r="41" spans="1:18" x14ac:dyDescent="0.3">
      <c r="A41" s="309">
        <v>15</v>
      </c>
      <c r="B41" s="308" t="s">
        <v>34</v>
      </c>
      <c r="C41" s="304">
        <v>745882729.64718938</v>
      </c>
      <c r="D41" s="304">
        <v>17090439.316729851</v>
      </c>
      <c r="E41" s="304">
        <v>762973168.96391928</v>
      </c>
      <c r="F41" s="425">
        <v>784631008.36000001</v>
      </c>
      <c r="G41" s="425">
        <v>16362688.709999999</v>
      </c>
      <c r="H41" s="426">
        <v>800993697.07000005</v>
      </c>
      <c r="I41" s="304">
        <f t="shared" si="0"/>
        <v>-38748278.712810636</v>
      </c>
      <c r="J41" s="304">
        <f t="shared" si="1"/>
        <v>727750.60672985204</v>
      </c>
      <c r="M41" s="396"/>
      <c r="O41" s="396"/>
      <c r="P41" s="429"/>
      <c r="Q41" s="429"/>
      <c r="R41" s="429"/>
    </row>
    <row r="42" spans="1:18" x14ac:dyDescent="0.3">
      <c r="A42" s="309">
        <v>16</v>
      </c>
      <c r="B42" s="308" t="s">
        <v>35</v>
      </c>
      <c r="C42" s="304">
        <v>294337034.25154388</v>
      </c>
      <c r="D42" s="304">
        <v>7093580.7297359845</v>
      </c>
      <c r="E42" s="304">
        <v>301430614.98127985</v>
      </c>
      <c r="F42" s="425">
        <v>313876241.20999998</v>
      </c>
      <c r="G42" s="425">
        <v>8281307.0699999994</v>
      </c>
      <c r="H42" s="426">
        <v>322157548.27999997</v>
      </c>
      <c r="I42" s="304">
        <f t="shared" si="0"/>
        <v>-19539206.958456099</v>
      </c>
      <c r="J42" s="304">
        <f t="shared" si="1"/>
        <v>-1187726.3402640149</v>
      </c>
      <c r="M42" s="396"/>
      <c r="O42" s="396"/>
      <c r="P42" s="429"/>
      <c r="Q42" s="429"/>
      <c r="R42" s="429"/>
    </row>
    <row r="43" spans="1:18" x14ac:dyDescent="0.3">
      <c r="A43" s="309">
        <v>17</v>
      </c>
      <c r="B43" s="308" t="s">
        <v>36</v>
      </c>
      <c r="C43" s="304">
        <v>1689912681.7955275</v>
      </c>
      <c r="D43" s="304">
        <v>40925261.10904742</v>
      </c>
      <c r="E43" s="304">
        <v>1730837942.9045749</v>
      </c>
      <c r="F43" s="425">
        <v>1763376157.29</v>
      </c>
      <c r="G43" s="425">
        <v>38958516.589999996</v>
      </c>
      <c r="H43" s="426">
        <v>1802334673.8799999</v>
      </c>
      <c r="I43" s="304">
        <f t="shared" si="0"/>
        <v>-73463475.494472504</v>
      </c>
      <c r="J43" s="304">
        <f t="shared" si="1"/>
        <v>1966744.5190474242</v>
      </c>
      <c r="M43" s="396"/>
      <c r="O43" s="396"/>
      <c r="P43" s="429"/>
      <c r="Q43" s="429"/>
      <c r="R43" s="429"/>
    </row>
    <row r="44" spans="1:18" x14ac:dyDescent="0.3">
      <c r="A44" s="309">
        <v>18</v>
      </c>
      <c r="B44" s="308" t="s">
        <v>37</v>
      </c>
      <c r="C44" s="304">
        <v>355627463.17635846</v>
      </c>
      <c r="D44" s="304">
        <v>10385930.729422042</v>
      </c>
      <c r="E44" s="304">
        <v>366013393.90578049</v>
      </c>
      <c r="F44" s="425">
        <v>375532435.44999999</v>
      </c>
      <c r="G44" s="425">
        <v>9736336.3899999987</v>
      </c>
      <c r="H44" s="426">
        <v>385268771.83999997</v>
      </c>
      <c r="I44" s="304">
        <f t="shared" si="0"/>
        <v>-19904972.273641527</v>
      </c>
      <c r="J44" s="304">
        <f t="shared" si="1"/>
        <v>649594.33942204341</v>
      </c>
      <c r="M44" s="396"/>
      <c r="O44" s="396"/>
      <c r="P44" s="429"/>
      <c r="Q44" s="429"/>
      <c r="R44" s="429"/>
    </row>
    <row r="45" spans="1:18" x14ac:dyDescent="0.3">
      <c r="A45" s="309">
        <v>19</v>
      </c>
      <c r="B45" s="308" t="s">
        <v>38</v>
      </c>
      <c r="C45" s="304">
        <v>859403031.52190328</v>
      </c>
      <c r="D45" s="304">
        <v>19912656.94599779</v>
      </c>
      <c r="E45" s="304">
        <v>879315688.46790111</v>
      </c>
      <c r="F45" s="425">
        <v>942980805.53974998</v>
      </c>
      <c r="G45" s="425">
        <v>26857896.000250001</v>
      </c>
      <c r="H45" s="426">
        <v>969838701.53999996</v>
      </c>
      <c r="I45" s="304">
        <f t="shared" si="0"/>
        <v>-83577774.017846704</v>
      </c>
      <c r="J45" s="304">
        <f t="shared" si="1"/>
        <v>-6945239.054252211</v>
      </c>
      <c r="M45" s="396"/>
      <c r="O45" s="396"/>
      <c r="P45" s="429"/>
      <c r="Q45" s="429"/>
      <c r="R45" s="429"/>
    </row>
    <row r="46" spans="1:18" x14ac:dyDescent="0.3">
      <c r="A46" s="310"/>
      <c r="B46" s="311" t="s">
        <v>6</v>
      </c>
      <c r="C46" s="311">
        <v>22670306001.888947</v>
      </c>
      <c r="D46" s="311">
        <v>498545787.23582375</v>
      </c>
      <c r="E46" s="311">
        <v>23168851789.124771</v>
      </c>
      <c r="F46" s="427">
        <v>23935162091.099754</v>
      </c>
      <c r="G46" s="427">
        <v>550030959.75024998</v>
      </c>
      <c r="H46" s="428">
        <v>24485193050.850006</v>
      </c>
      <c r="I46" s="435">
        <f t="shared" si="0"/>
        <v>-1264856089.2108078</v>
      </c>
      <c r="J46" s="435">
        <f t="shared" si="1"/>
        <v>-51485172.514426231</v>
      </c>
      <c r="M46" s="396"/>
      <c r="O46" s="396"/>
    </row>
  </sheetData>
  <mergeCells count="3">
    <mergeCell ref="A3:F3"/>
    <mergeCell ref="A4:F4"/>
    <mergeCell ref="A5:F5"/>
  </mergeCell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Q137"/>
  <sheetViews>
    <sheetView zoomScale="45" zoomScaleNormal="100" workbookViewId="0"/>
  </sheetViews>
  <sheetFormatPr defaultRowHeight="15.5" x14ac:dyDescent="0.35"/>
  <cols>
    <col min="1" max="1" width="63.25" style="38" customWidth="1"/>
    <col min="2" max="2" width="30.08203125" style="38" customWidth="1"/>
    <col min="3" max="3" width="35.33203125" style="38" customWidth="1"/>
    <col min="4" max="5" width="32.5" style="38" customWidth="1"/>
    <col min="6" max="6" width="30.5" style="38" customWidth="1"/>
    <col min="7" max="7" width="19.08203125" style="38" customWidth="1"/>
    <col min="8" max="8" width="35.58203125" style="38" customWidth="1"/>
    <col min="9" max="9" width="20.58203125" style="38" customWidth="1"/>
    <col min="10" max="10" width="34.4140625" style="38" customWidth="1"/>
    <col min="11" max="11" width="16.83203125" style="38" customWidth="1"/>
    <col min="12" max="12" width="27.5" style="38" customWidth="1"/>
    <col min="13" max="13" width="24.08203125" style="38" customWidth="1"/>
    <col min="14" max="14" width="19.75" style="38" customWidth="1"/>
    <col min="15" max="15" width="12.5" bestFit="1" customWidth="1"/>
    <col min="16" max="16" width="21" bestFit="1" customWidth="1"/>
  </cols>
  <sheetData>
    <row r="1" spans="1:14" ht="20" x14ac:dyDescent="0.4">
      <c r="A1" s="267" t="s">
        <v>319</v>
      </c>
      <c r="D1" s="40"/>
      <c r="E1" s="40"/>
      <c r="F1" s="40"/>
    </row>
    <row r="2" spans="1:14" s="43" customFormat="1" x14ac:dyDescent="0.35">
      <c r="A2" s="42" t="str">
        <f>INFO!A2</f>
        <v>VM/KAO 23.9.2024</v>
      </c>
      <c r="B2" s="44"/>
      <c r="C2" s="44"/>
      <c r="D2" s="44"/>
      <c r="E2" s="44"/>
      <c r="F2" s="44"/>
      <c r="G2" s="44"/>
      <c r="H2" s="44"/>
      <c r="I2" s="44"/>
      <c r="J2" s="44"/>
      <c r="K2" s="44"/>
      <c r="L2" s="38"/>
      <c r="M2" s="38"/>
      <c r="N2" s="38"/>
    </row>
    <row r="3" spans="1:14" s="43" customFormat="1" ht="93" customHeight="1" x14ac:dyDescent="0.35">
      <c r="A3" s="448" t="s">
        <v>401</v>
      </c>
      <c r="B3" s="448"/>
      <c r="C3" s="448"/>
      <c r="D3" s="38"/>
      <c r="E3" s="38"/>
      <c r="F3" s="38"/>
      <c r="G3" s="38"/>
      <c r="H3" s="38"/>
      <c r="I3" s="38"/>
      <c r="J3" s="38"/>
      <c r="K3" s="38"/>
      <c r="L3" s="38"/>
      <c r="M3" s="38"/>
      <c r="N3" s="38"/>
    </row>
    <row r="4" spans="1:14" s="43" customFormat="1" ht="46" customHeight="1" x14ac:dyDescent="0.35">
      <c r="A4" s="448" t="s">
        <v>409</v>
      </c>
      <c r="B4" s="448"/>
      <c r="C4" s="448"/>
      <c r="D4" s="38"/>
      <c r="E4" s="38"/>
      <c r="F4" s="38"/>
      <c r="G4" s="38"/>
      <c r="H4" s="38"/>
      <c r="I4" s="38"/>
      <c r="J4" s="38"/>
      <c r="K4" s="38"/>
      <c r="L4" s="38"/>
      <c r="M4" s="38"/>
      <c r="N4" s="38"/>
    </row>
    <row r="5" spans="1:14" s="43" customFormat="1" x14ac:dyDescent="0.35">
      <c r="A5" s="45"/>
      <c r="B5" s="38"/>
      <c r="C5" s="38"/>
      <c r="D5" s="38"/>
      <c r="E5" s="38"/>
      <c r="F5" s="38"/>
      <c r="G5" s="38"/>
      <c r="H5" s="38"/>
      <c r="I5" s="38"/>
      <c r="J5" s="38"/>
      <c r="K5" s="38"/>
      <c r="L5" s="38"/>
      <c r="M5" s="38"/>
      <c r="N5" s="38"/>
    </row>
    <row r="6" spans="1:14" s="43" customFormat="1" ht="17" thickBot="1" x14ac:dyDescent="0.4">
      <c r="A6" s="252" t="s">
        <v>319</v>
      </c>
      <c r="B6" s="51"/>
      <c r="C6" s="51"/>
      <c r="D6" s="46"/>
      <c r="E6" s="39"/>
      <c r="F6" s="39"/>
      <c r="G6" s="39"/>
      <c r="H6" s="39"/>
      <c r="I6" s="39"/>
      <c r="J6" s="39"/>
      <c r="K6" s="39"/>
      <c r="L6" s="39"/>
      <c r="M6" s="39"/>
      <c r="N6" s="39"/>
    </row>
    <row r="7" spans="1:14" s="43" customFormat="1" ht="16" thickTop="1" x14ac:dyDescent="0.35">
      <c r="A7" s="245" t="s">
        <v>353</v>
      </c>
      <c r="B7" s="246" t="s">
        <v>1</v>
      </c>
      <c r="C7" s="247" t="s">
        <v>316</v>
      </c>
      <c r="D7" s="38"/>
      <c r="E7" s="39"/>
      <c r="F7" s="38"/>
      <c r="G7" s="38"/>
      <c r="H7" s="39"/>
      <c r="I7" s="39"/>
      <c r="J7" s="39"/>
      <c r="K7" s="39"/>
      <c r="L7" s="39"/>
      <c r="M7" s="39"/>
      <c r="N7" s="39"/>
    </row>
    <row r="8" spans="1:14" s="43" customFormat="1" ht="20.5" customHeight="1" x14ac:dyDescent="0.35">
      <c r="A8" s="210" t="s">
        <v>40</v>
      </c>
      <c r="B8" s="369">
        <f>Määräytymistekijät!C30</f>
        <v>5573310</v>
      </c>
      <c r="C8" s="212"/>
      <c r="D8" s="38"/>
      <c r="E8" s="39"/>
      <c r="F8" s="38"/>
      <c r="G8" s="38"/>
      <c r="H8" s="39"/>
      <c r="I8" s="39"/>
      <c r="J8" s="39"/>
      <c r="K8" s="39"/>
      <c r="L8" s="39"/>
      <c r="M8" s="39"/>
      <c r="N8" s="39"/>
    </row>
    <row r="9" spans="1:14" s="43" customFormat="1" ht="24" customHeight="1" x14ac:dyDescent="0.35">
      <c r="A9" s="210" t="s">
        <v>329</v>
      </c>
      <c r="B9" s="211">
        <f>'Rahoituksen taso 2025'!B8+'Rahoituksen taso 2025'!B12+'Rahoituksen taso 2025'!B13+'Rahoituksen taso 2025'!B19</f>
        <v>25993002465.479099</v>
      </c>
      <c r="C9" s="212"/>
      <c r="D9" s="38"/>
      <c r="E9" s="39"/>
      <c r="F9" s="38"/>
      <c r="G9" s="38"/>
      <c r="H9" s="39"/>
      <c r="I9" s="39"/>
      <c r="J9" s="39"/>
      <c r="K9" s="39"/>
      <c r="L9" s="39"/>
      <c r="M9" s="39"/>
      <c r="N9" s="39"/>
    </row>
    <row r="10" spans="1:14" s="43" customFormat="1" ht="17.25" customHeight="1" x14ac:dyDescent="0.35">
      <c r="A10" s="216" t="s">
        <v>383</v>
      </c>
      <c r="B10" s="217">
        <f>SUM(B11:B23)</f>
        <v>-271447000</v>
      </c>
      <c r="C10" s="217" t="s">
        <v>198</v>
      </c>
      <c r="D10" s="259"/>
      <c r="E10" s="130"/>
      <c r="F10" s="38"/>
      <c r="G10" s="38"/>
      <c r="H10" s="49"/>
      <c r="I10" s="38"/>
      <c r="J10" s="50"/>
      <c r="K10" s="50"/>
      <c r="L10" s="50"/>
      <c r="M10" s="50"/>
      <c r="N10" s="50"/>
    </row>
    <row r="11" spans="1:14" s="43" customFormat="1" ht="17.25" customHeight="1" x14ac:dyDescent="0.35">
      <c r="A11" s="128" t="str">
        <f>'Rahoituksen taso 2025'!A30</f>
        <v>Hoitotakuun toteutus</v>
      </c>
      <c r="B11" s="258">
        <f>'Rahoituksen taso 2025'!B30</f>
        <v>14800000</v>
      </c>
      <c r="C11" s="206" t="s">
        <v>195</v>
      </c>
      <c r="D11" s="259"/>
      <c r="E11" s="130"/>
      <c r="F11" s="38"/>
      <c r="G11" s="38"/>
      <c r="H11" s="49"/>
      <c r="I11" s="38"/>
      <c r="J11" s="50"/>
      <c r="K11" s="50"/>
      <c r="L11" s="50"/>
      <c r="M11" s="50"/>
      <c r="N11" s="50"/>
    </row>
    <row r="12" spans="1:14" s="43" customFormat="1" ht="17.25" customHeight="1" x14ac:dyDescent="0.35">
      <c r="A12" s="128" t="str">
        <f>'Rahoituksen taso 2025'!A31</f>
        <v>Sote-valvontalaki (nettomuutos)</v>
      </c>
      <c r="B12" s="258">
        <f>'Rahoituksen taso 2025'!B31</f>
        <v>2600000</v>
      </c>
      <c r="C12" s="258" t="s">
        <v>309</v>
      </c>
      <c r="D12" s="259"/>
      <c r="E12" s="130"/>
      <c r="F12" s="38"/>
      <c r="G12" s="38"/>
      <c r="H12" s="49"/>
      <c r="I12" s="38"/>
      <c r="J12" s="50"/>
      <c r="K12" s="50"/>
      <c r="L12" s="50"/>
      <c r="M12" s="50"/>
      <c r="N12" s="50"/>
    </row>
    <row r="13" spans="1:14" s="43" customFormat="1" ht="17.25" customHeight="1" x14ac:dyDescent="0.35">
      <c r="A13" s="128" t="str">
        <f>'Rahoituksen taso 2025'!A32</f>
        <v>Laki potilasasiavastaavista ja sosiaaliasiavastaavista (nettomuutos)</v>
      </c>
      <c r="B13" s="258">
        <f>'Rahoituksen taso 2025'!B32</f>
        <v>-305000</v>
      </c>
      <c r="C13" s="206" t="s">
        <v>309</v>
      </c>
      <c r="D13" s="259"/>
      <c r="E13" s="130"/>
      <c r="F13" s="38"/>
      <c r="G13" s="38"/>
      <c r="H13" s="49"/>
      <c r="I13" s="38"/>
      <c r="J13" s="50"/>
      <c r="K13" s="50"/>
      <c r="L13" s="50"/>
      <c r="M13" s="50"/>
      <c r="N13" s="50"/>
    </row>
    <row r="14" spans="1:14" s="43" customFormat="1" ht="17.25" customHeight="1" x14ac:dyDescent="0.35">
      <c r="A14" s="128" t="str">
        <f>'Rahoituksen taso 2025'!A33</f>
        <v>Lasten ja nuorten mielenterveyspalveluiden vahvistaminen</v>
      </c>
      <c r="B14" s="258">
        <f>'Rahoituksen taso 2025'!B33</f>
        <v>22168000</v>
      </c>
      <c r="C14" s="206" t="s">
        <v>195</v>
      </c>
      <c r="D14" s="259"/>
      <c r="E14" s="130"/>
      <c r="F14" s="38"/>
      <c r="G14" s="38"/>
      <c r="H14" s="49"/>
      <c r="I14" s="38"/>
      <c r="J14" s="50"/>
      <c r="K14" s="50"/>
      <c r="L14" s="50"/>
      <c r="M14" s="50"/>
      <c r="N14" s="50"/>
    </row>
    <row r="15" spans="1:14" s="43" customFormat="1" ht="17.25" customHeight="1" x14ac:dyDescent="0.35">
      <c r="A15" s="128" t="str">
        <f>'Rahoituksen taso 2025'!A34</f>
        <v>Pidetään voimassa 1.9.2023 voimaan tuleva 14 vrk hoitotakuu</v>
      </c>
      <c r="B15" s="258">
        <f>'Rahoituksen taso 2025'!B34</f>
        <v>-25000000</v>
      </c>
      <c r="C15" s="258" t="s">
        <v>195</v>
      </c>
      <c r="D15" s="259"/>
      <c r="E15" s="130"/>
      <c r="F15" s="38"/>
      <c r="G15" s="38"/>
      <c r="H15" s="49"/>
      <c r="I15" s="38"/>
      <c r="J15" s="50"/>
      <c r="K15" s="50"/>
      <c r="L15" s="50"/>
      <c r="M15" s="50"/>
      <c r="N15" s="50"/>
    </row>
    <row r="16" spans="1:14" s="43" customFormat="1" ht="17.25" customHeight="1" x14ac:dyDescent="0.35">
      <c r="A16" s="128" t="str">
        <f>'Rahoituksen taso 2025'!A35</f>
        <v>Hoitotakuun pidennys 3 kuukauteen perusterveydenhuollossa (Lisätoimet 2024)</v>
      </c>
      <c r="B16" s="258">
        <f>'Rahoituksen taso 2025'!B35</f>
        <v>-96200000</v>
      </c>
      <c r="C16" s="206" t="s">
        <v>195</v>
      </c>
      <c r="D16" s="259"/>
      <c r="E16" s="130"/>
      <c r="F16" s="38"/>
      <c r="G16" s="38"/>
      <c r="H16" s="49"/>
      <c r="I16" s="38"/>
      <c r="J16" s="50"/>
      <c r="K16" s="50"/>
      <c r="L16" s="50"/>
      <c r="M16" s="50"/>
      <c r="N16" s="50"/>
    </row>
    <row r="17" spans="1:16" s="43" customFormat="1" ht="17.25" customHeight="1" x14ac:dyDescent="0.35">
      <c r="A17" s="128" t="str">
        <f>'Rahoituksen taso 2025'!A36</f>
        <v>Asiakasmaksujen korotukset</v>
      </c>
      <c r="B17" s="258">
        <f>'Rahoituksen taso 2025'!B36</f>
        <v>-150000000</v>
      </c>
      <c r="C17" s="206" t="s">
        <v>195</v>
      </c>
      <c r="D17" s="259"/>
      <c r="E17" s="130"/>
      <c r="F17" s="38"/>
      <c r="G17" s="38"/>
      <c r="H17" s="49"/>
      <c r="I17" s="38"/>
      <c r="J17" s="50"/>
      <c r="K17" s="50"/>
      <c r="L17" s="50"/>
      <c r="M17" s="50"/>
      <c r="N17" s="50"/>
    </row>
    <row r="18" spans="1:16" s="43" customFormat="1" ht="17.25" customHeight="1" x14ac:dyDescent="0.35">
      <c r="A18" s="128" t="str">
        <f>'Rahoituksen taso 2025'!A37</f>
        <v>Lastensuojelun jälkihuollon ikärajan laskeminen</v>
      </c>
      <c r="B18" s="258">
        <f>'Rahoituksen taso 2025'!B37</f>
        <v>-12000000</v>
      </c>
      <c r="C18" s="206" t="s">
        <v>193</v>
      </c>
      <c r="D18" s="260"/>
      <c r="E18" s="261"/>
      <c r="F18" s="38"/>
      <c r="G18" s="38"/>
      <c r="H18" s="49"/>
      <c r="I18" s="38"/>
      <c r="J18" s="50"/>
      <c r="K18" s="50"/>
      <c r="L18" s="50"/>
      <c r="M18" s="50"/>
      <c r="N18" s="50"/>
    </row>
    <row r="19" spans="1:16" s="43" customFormat="1" ht="17.25" customHeight="1" x14ac:dyDescent="0.35">
      <c r="A19" s="128" t="str">
        <f>'Rahoituksen taso 2025'!A38</f>
        <v>Vammaispalvelulain uudistus</v>
      </c>
      <c r="B19" s="258">
        <f>'Rahoituksen taso 2025'!B38</f>
        <v>24800000</v>
      </c>
      <c r="C19" s="299" t="s">
        <v>193</v>
      </c>
      <c r="D19" s="260"/>
      <c r="E19" s="261"/>
      <c r="F19" s="38"/>
      <c r="G19" s="38"/>
      <c r="H19" s="49"/>
      <c r="I19" s="38"/>
      <c r="J19" s="50"/>
      <c r="K19" s="50"/>
      <c r="L19" s="50"/>
      <c r="M19" s="50"/>
      <c r="N19" s="50"/>
    </row>
    <row r="20" spans="1:16" s="43" customFormat="1" ht="17.25" customHeight="1" x14ac:dyDescent="0.35">
      <c r="A20" s="128" t="str">
        <f>'Rahoituksen taso 2025'!A39</f>
        <v>Mielenterveyslain muuttaminen (tahdosta riippumattomassa psykiatrisessa hoidossa)</v>
      </c>
      <c r="B20" s="258">
        <f>'Rahoituksen taso 2025'!B39</f>
        <v>-310000</v>
      </c>
      <c r="C20" s="300" t="s">
        <v>195</v>
      </c>
      <c r="D20" s="260"/>
      <c r="E20" s="261"/>
      <c r="F20" s="38"/>
      <c r="G20" s="38"/>
      <c r="H20" s="49"/>
      <c r="I20" s="38"/>
      <c r="J20" s="50"/>
      <c r="K20" s="50"/>
      <c r="L20" s="50"/>
      <c r="M20" s="50"/>
      <c r="N20" s="50"/>
    </row>
    <row r="21" spans="1:16" s="43" customFormat="1" ht="17.25" customHeight="1" x14ac:dyDescent="0.35">
      <c r="A21" s="128" t="str">
        <f>'Rahoituksen taso 2025'!A40</f>
        <v>Iäkkäiden ympärivuorokautisen hoivan henkilöstömitoituksen keventäminen (Lisätoimet 2024)</v>
      </c>
      <c r="B21" s="258">
        <f>'Rahoituksen taso 2025'!B40</f>
        <v>-45000000</v>
      </c>
      <c r="C21" s="346" t="s">
        <v>194</v>
      </c>
      <c r="D21" s="322"/>
      <c r="E21" s="261"/>
      <c r="F21" s="38"/>
      <c r="G21" s="38"/>
      <c r="H21" s="49"/>
      <c r="I21" s="38"/>
      <c r="J21" s="50"/>
      <c r="K21" s="50"/>
      <c r="L21" s="50"/>
      <c r="M21" s="50"/>
      <c r="N21" s="50"/>
    </row>
    <row r="22" spans="1:16" s="43" customFormat="1" ht="17.25" customHeight="1" x14ac:dyDescent="0.35">
      <c r="A22" s="128" t="str">
        <f>'Rahoituksen taso 2025'!A41</f>
        <v>Lastensuojelun sosiaalityöntekijöiden kelpoisuusvaatimusten joustavoittaminen henkilöstön saatavuuden helpottamiseksi ja lastensuojelun riittävyyden turvaamiseksi (Lisätoimet 2024)</v>
      </c>
      <c r="B22" s="258">
        <f>'Rahoituksen taso 2025'!B41</f>
        <v>-2000000</v>
      </c>
      <c r="C22" s="347" t="s">
        <v>193</v>
      </c>
      <c r="D22" s="260"/>
      <c r="E22" s="261"/>
      <c r="F22" s="38"/>
      <c r="G22" s="38"/>
      <c r="H22" s="49"/>
      <c r="I22" s="38"/>
      <c r="J22" s="50"/>
      <c r="K22" s="50"/>
      <c r="L22" s="50"/>
      <c r="M22" s="50"/>
      <c r="N22" s="50"/>
    </row>
    <row r="23" spans="1:16" s="43" customFormat="1" x14ac:dyDescent="0.35">
      <c r="A23" s="128" t="str">
        <f>'Rahoituksen taso 2025'!A42</f>
        <v>Ajokorttitarkastusten rajaaminen julkisen palveluvalikoiman ulkopuolelle (Lisätoimet 2024)</v>
      </c>
      <c r="B23" s="258">
        <f>'Rahoituksen taso 2025'!B42</f>
        <v>-5000000</v>
      </c>
      <c r="C23" s="347" t="s">
        <v>309</v>
      </c>
      <c r="D23" s="260"/>
      <c r="E23" s="261"/>
      <c r="F23" s="38"/>
      <c r="G23" s="38"/>
      <c r="H23" s="49"/>
      <c r="I23" s="38"/>
      <c r="J23" s="50"/>
      <c r="K23" s="50"/>
      <c r="L23" s="50"/>
      <c r="M23" s="50"/>
      <c r="N23" s="50"/>
    </row>
    <row r="24" spans="1:16" s="43" customFormat="1" ht="17.25" customHeight="1" x14ac:dyDescent="0.35">
      <c r="A24" s="213" t="s">
        <v>384</v>
      </c>
      <c r="B24" s="214">
        <f>B9+SUM(B11:B23)</f>
        <v>25721555465.479099</v>
      </c>
      <c r="C24" s="215"/>
      <c r="D24" s="44"/>
      <c r="E24" s="430"/>
      <c r="F24" s="38"/>
      <c r="G24" s="38"/>
      <c r="H24" s="49"/>
      <c r="I24" s="38"/>
      <c r="J24" s="50"/>
      <c r="K24" s="50"/>
      <c r="L24" s="50"/>
      <c r="M24" s="50"/>
      <c r="N24" s="168"/>
    </row>
    <row r="25" spans="1:16" s="43" customFormat="1" ht="34.5" customHeight="1" x14ac:dyDescent="0.35">
      <c r="A25" s="140"/>
      <c r="N25" s="50"/>
    </row>
    <row r="26" spans="1:16" s="43" customFormat="1" ht="17" thickBot="1" x14ac:dyDescent="0.4">
      <c r="A26" s="253" t="s">
        <v>177</v>
      </c>
      <c r="B26" s="51"/>
      <c r="C26" s="51"/>
      <c r="D26" s="51"/>
      <c r="E26" s="51"/>
      <c r="F26" s="51"/>
      <c r="G26" s="51"/>
      <c r="H26" s="51"/>
      <c r="I26" s="51"/>
      <c r="J26" s="51"/>
      <c r="K26" s="51"/>
      <c r="L26" s="51"/>
      <c r="M26" s="51"/>
      <c r="N26" s="165"/>
    </row>
    <row r="27" spans="1:16" s="43" customFormat="1" ht="16" thickTop="1" x14ac:dyDescent="0.35">
      <c r="A27" s="47" t="s">
        <v>190</v>
      </c>
      <c r="B27" s="161" t="s">
        <v>168</v>
      </c>
      <c r="C27" s="161" t="s">
        <v>178</v>
      </c>
      <c r="D27" s="67" t="s">
        <v>169</v>
      </c>
      <c r="E27" s="67" t="s">
        <v>170</v>
      </c>
      <c r="F27" s="67" t="s">
        <v>171</v>
      </c>
      <c r="G27" s="162" t="s">
        <v>172</v>
      </c>
      <c r="H27" s="161" t="s">
        <v>173</v>
      </c>
      <c r="I27" s="161" t="s">
        <v>14</v>
      </c>
      <c r="J27" s="161" t="s">
        <v>174</v>
      </c>
      <c r="K27" s="161" t="s">
        <v>175</v>
      </c>
      <c r="L27" s="163" t="s">
        <v>176</v>
      </c>
      <c r="M27" s="163" t="s">
        <v>199</v>
      </c>
      <c r="N27" s="164" t="s">
        <v>6</v>
      </c>
    </row>
    <row r="28" spans="1:16" s="293" customFormat="1" ht="22.5" customHeight="1" x14ac:dyDescent="0.35">
      <c r="A28" s="294" t="s">
        <v>335</v>
      </c>
      <c r="B28" s="319">
        <v>0.13199587622345235</v>
      </c>
      <c r="C28" s="319"/>
      <c r="D28" s="319">
        <v>0.47690259790943512</v>
      </c>
      <c r="E28" s="319">
        <v>0.16203323834386577</v>
      </c>
      <c r="F28" s="319">
        <v>0.17316780478841312</v>
      </c>
      <c r="G28" s="319">
        <v>1.9665654979656191E-2</v>
      </c>
      <c r="H28" s="319">
        <v>4.9164137449140477E-3</v>
      </c>
      <c r="I28" s="319">
        <v>1.4749241234742144E-2</v>
      </c>
      <c r="J28" s="319">
        <v>1.1111095063505748E-3</v>
      </c>
      <c r="K28" s="319">
        <v>9.8328274898280953E-3</v>
      </c>
      <c r="L28" s="319">
        <v>1.2782675736772934E-4</v>
      </c>
      <c r="M28" s="320">
        <v>5.4974090219746521E-3</v>
      </c>
      <c r="N28" s="321">
        <f>SUM(B28:M28)</f>
        <v>0.99999999999999978</v>
      </c>
    </row>
    <row r="29" spans="1:16" s="43" customFormat="1" ht="34" customHeight="1" x14ac:dyDescent="0.35">
      <c r="A29" s="292" t="s">
        <v>336</v>
      </c>
      <c r="B29" s="57">
        <f>B28*(B9+B12+B13+B23)</f>
        <v>3430612087.2640867</v>
      </c>
      <c r="C29" s="57"/>
      <c r="D29" s="57">
        <f>D28*(B9+B12+B13+B23)+B11+B14+B15+B16+B17+B20</f>
        <v>12160298381.72599</v>
      </c>
      <c r="E29" s="57">
        <f>E28*(B9+B12+B13+B23)+B21</f>
        <v>4166292063.8519454</v>
      </c>
      <c r="F29" s="57">
        <f>F28*(B9+B12+B13+B23)+B18+B19+B22</f>
        <v>4511482757.8948727</v>
      </c>
      <c r="G29" s="57">
        <f>G28*(B9+B12+B13+B23)</f>
        <v>511116222.77474475</v>
      </c>
      <c r="H29" s="57">
        <f>H28*(B9+B12+B13+B23)</f>
        <v>127779055.69368619</v>
      </c>
      <c r="I29" s="57">
        <f>I28*(B9+B12+B13+B23)</f>
        <v>383337167.08105856</v>
      </c>
      <c r="J29" s="57">
        <f>J28*(B9+B12+B13+B23)</f>
        <v>28878066.586773079</v>
      </c>
      <c r="K29" s="57">
        <f>K28*(B9+B12+B13+B23)</f>
        <v>255558111.38737237</v>
      </c>
      <c r="L29" s="57">
        <f>L28*(B9+B12+B13+B23)</f>
        <v>3322255.4480349077</v>
      </c>
      <c r="M29" s="234">
        <f>M28*(B9+B12+B13+B23)</f>
        <v>142879295.77052975</v>
      </c>
      <c r="N29" s="118">
        <f>B29+SUM(D29:M29)</f>
        <v>25721555465.479099</v>
      </c>
      <c r="O29" s="205"/>
      <c r="P29" s="205"/>
    </row>
    <row r="30" spans="1:16" s="43" customFormat="1" x14ac:dyDescent="0.35">
      <c r="A30" s="288" t="s">
        <v>181</v>
      </c>
      <c r="B30" s="273">
        <f>B29/$B$8</f>
        <v>615.54302331362987</v>
      </c>
      <c r="C30" s="274"/>
      <c r="D30" s="273">
        <f>D29/$B$8</f>
        <v>2181.8808538778553</v>
      </c>
      <c r="E30" s="273">
        <f>E29/$B$8</f>
        <v>747.54357174676193</v>
      </c>
      <c r="F30" s="273">
        <f>F29/$B$8</f>
        <v>809.47996036374661</v>
      </c>
      <c r="G30" s="273">
        <f>G29/G57</f>
        <v>920.51548451102155</v>
      </c>
      <c r="H30" s="273">
        <f>H29/H57</f>
        <v>511.43740546537703</v>
      </c>
      <c r="I30" s="273">
        <f>I29/B8</f>
        <v>68.780880137846012</v>
      </c>
      <c r="J30" s="273">
        <f>J29/J57</f>
        <v>846.71514064308565</v>
      </c>
      <c r="K30" s="273">
        <f>K29/B8</f>
        <v>45.853920091897344</v>
      </c>
      <c r="L30" s="273">
        <f>L29/L57</f>
        <v>2137.8735186839817</v>
      </c>
      <c r="M30" s="275">
        <f>M29/M57</f>
        <v>41.342065837601893</v>
      </c>
      <c r="N30" s="289"/>
    </row>
    <row r="31" spans="1:16" s="169" customFormat="1" ht="18.5" customHeight="1" x14ac:dyDescent="0.35">
      <c r="A31" s="200" t="s">
        <v>337</v>
      </c>
      <c r="B31" s="201">
        <f>B29/$B$24</f>
        <v>0.13337498550071403</v>
      </c>
      <c r="C31" s="201"/>
      <c r="D31" s="201">
        <f t="shared" ref="D31:M31" si="0">D29/$B$24</f>
        <v>0.47276683550675336</v>
      </c>
      <c r="E31" s="201">
        <f t="shared" si="0"/>
        <v>0.16197667631117901</v>
      </c>
      <c r="F31" s="201">
        <f t="shared" si="0"/>
        <v>0.17539696477336816</v>
      </c>
      <c r="G31" s="201">
        <f t="shared" si="0"/>
        <v>1.9871124180678493E-2</v>
      </c>
      <c r="H31" s="201">
        <f t="shared" si="0"/>
        <v>4.9677810451696234E-3</v>
      </c>
      <c r="I31" s="201">
        <f t="shared" si="0"/>
        <v>1.4903343135508869E-2</v>
      </c>
      <c r="J31" s="201">
        <f t="shared" si="0"/>
        <v>1.1227185162083347E-3</v>
      </c>
      <c r="K31" s="201">
        <f t="shared" si="0"/>
        <v>9.9355620903392467E-3</v>
      </c>
      <c r="L31" s="201">
        <f t="shared" si="0"/>
        <v>1.291623071743739E-4</v>
      </c>
      <c r="M31" s="201">
        <f t="shared" si="0"/>
        <v>5.5548466329063207E-3</v>
      </c>
      <c r="N31" s="202">
        <f>B31+SUM(D31:M31)</f>
        <v>0.99999999999999989</v>
      </c>
    </row>
    <row r="32" spans="1:16" s="169" customFormat="1" ht="34.5" customHeight="1" x14ac:dyDescent="0.35">
      <c r="A32" s="277"/>
      <c r="B32" s="278"/>
      <c r="C32" s="278"/>
      <c r="D32" s="278"/>
      <c r="E32" s="278"/>
      <c r="F32" s="278"/>
      <c r="G32" s="278"/>
      <c r="H32" s="278"/>
      <c r="I32" s="278"/>
      <c r="J32" s="278"/>
      <c r="K32" s="278"/>
      <c r="L32" s="278"/>
      <c r="M32" s="278"/>
      <c r="N32" s="279"/>
    </row>
    <row r="33" spans="1:14" s="43" customFormat="1" ht="17" thickBot="1" x14ac:dyDescent="0.4">
      <c r="A33" s="252" t="s">
        <v>370</v>
      </c>
      <c r="B33" s="51"/>
      <c r="C33" s="51"/>
      <c r="D33" s="51"/>
      <c r="E33" s="51"/>
      <c r="F33" s="51"/>
      <c r="G33" s="63"/>
      <c r="H33" s="64"/>
      <c r="I33" s="64"/>
      <c r="J33" s="64"/>
      <c r="K33" s="64"/>
      <c r="L33" s="64"/>
      <c r="M33" s="64"/>
      <c r="N33" s="62"/>
    </row>
    <row r="34" spans="1:14" s="43" customFormat="1" ht="27" customHeight="1" thickTop="1" x14ac:dyDescent="0.35">
      <c r="A34" s="65" t="s">
        <v>8</v>
      </c>
      <c r="B34" s="47" t="s">
        <v>9</v>
      </c>
      <c r="C34" s="66" t="s">
        <v>40</v>
      </c>
      <c r="D34" s="67" t="s">
        <v>182</v>
      </c>
      <c r="E34" s="67" t="s">
        <v>183</v>
      </c>
      <c r="F34" s="67" t="s">
        <v>184</v>
      </c>
      <c r="G34" s="67" t="s">
        <v>12</v>
      </c>
      <c r="H34" s="68" t="s">
        <v>10</v>
      </c>
      <c r="I34" s="66" t="s">
        <v>41</v>
      </c>
      <c r="J34" s="68" t="s">
        <v>185</v>
      </c>
      <c r="K34" s="69" t="s">
        <v>186</v>
      </c>
      <c r="L34" s="68" t="s">
        <v>187</v>
      </c>
      <c r="M34" s="166" t="s">
        <v>200</v>
      </c>
      <c r="N34" s="70"/>
    </row>
    <row r="35" spans="1:14" s="43" customFormat="1" x14ac:dyDescent="0.35">
      <c r="A35" s="71">
        <v>31</v>
      </c>
      <c r="B35" s="254" t="s">
        <v>17</v>
      </c>
      <c r="C35" s="72">
        <f>Määräytymistekijät!C8</f>
        <v>674500</v>
      </c>
      <c r="D35" s="73">
        <f>Tarvekertoimet!J7</f>
        <v>0.89204443440242298</v>
      </c>
      <c r="E35" s="73">
        <f>Tarvekertoimet!K7</f>
        <v>0.75931679131262719</v>
      </c>
      <c r="F35" s="73">
        <f>Tarvekertoimet!L7</f>
        <v>0.82438416967737127</v>
      </c>
      <c r="G35" s="72">
        <f>Määräytymistekijät!F8</f>
        <v>131878</v>
      </c>
      <c r="H35" s="72">
        <f>Määräytymistekijät!D8</f>
        <v>36844</v>
      </c>
      <c r="I35" s="74">
        <f>Määräytymistekijät!I8</f>
        <v>5.8607628620505406E-3</v>
      </c>
      <c r="J35" s="72">
        <f>Määräytymistekijät!J8</f>
        <v>0</v>
      </c>
      <c r="K35" s="74"/>
      <c r="L35" s="72">
        <f>Määräytymistekijät!E8</f>
        <v>0</v>
      </c>
      <c r="M35" s="167">
        <f t="shared" ref="M35:M40" si="1">C35</f>
        <v>674500</v>
      </c>
      <c r="N35" s="75"/>
    </row>
    <row r="36" spans="1:14" s="43" customFormat="1" x14ac:dyDescent="0.35">
      <c r="A36" s="76">
        <v>32</v>
      </c>
      <c r="B36" s="255" t="s">
        <v>49</v>
      </c>
      <c r="C36" s="72">
        <f>Määräytymistekijät!C9</f>
        <v>285654</v>
      </c>
      <c r="D36" s="73">
        <f>Tarvekertoimet!J8</f>
        <v>0.91342685899911769</v>
      </c>
      <c r="E36" s="73">
        <f>Tarvekertoimet!K8</f>
        <v>0.6124627745341249</v>
      </c>
      <c r="F36" s="73">
        <f>Tarvekertoimet!L8</f>
        <v>0.8773764822193646</v>
      </c>
      <c r="G36" s="72">
        <f>Määräytymistekijät!F9</f>
        <v>72777</v>
      </c>
      <c r="H36" s="72">
        <f>Määräytymistekijät!D9</f>
        <v>5840</v>
      </c>
      <c r="I36" s="74">
        <f>Määräytymistekijät!I9</f>
        <v>1.7354682593287311E-2</v>
      </c>
      <c r="J36" s="72">
        <f>Määräytymistekijät!J9</f>
        <v>0</v>
      </c>
      <c r="K36" s="77"/>
      <c r="L36" s="72">
        <f>Määräytymistekijät!E9</f>
        <v>0</v>
      </c>
      <c r="M36" s="167">
        <f t="shared" si="1"/>
        <v>285654</v>
      </c>
      <c r="N36" s="75"/>
    </row>
    <row r="37" spans="1:14" s="43" customFormat="1" x14ac:dyDescent="0.35">
      <c r="A37" s="76">
        <v>33</v>
      </c>
      <c r="B37" s="255" t="s">
        <v>19</v>
      </c>
      <c r="C37" s="72">
        <f>Määräytymistekijät!C10</f>
        <v>494952</v>
      </c>
      <c r="D37" s="73">
        <f>Tarvekertoimet!J9</f>
        <v>0.85144799672796301</v>
      </c>
      <c r="E37" s="73">
        <f>Tarvekertoimet!K9</f>
        <v>0.63763545519004039</v>
      </c>
      <c r="F37" s="73">
        <f>Tarvekertoimet!L9</f>
        <v>0.75141219051567698</v>
      </c>
      <c r="G37" s="72">
        <f>Määräytymistekijät!F10</f>
        <v>88695</v>
      </c>
      <c r="H37" s="72">
        <f>Määräytymistekijät!D10</f>
        <v>56511</v>
      </c>
      <c r="I37" s="74">
        <f>Määräytymistekijät!I10</f>
        <v>0.15830000908926531</v>
      </c>
      <c r="J37" s="72">
        <f>Määräytymistekijät!J10</f>
        <v>0</v>
      </c>
      <c r="K37" s="77"/>
      <c r="L37" s="72">
        <f>Määräytymistekijät!E10</f>
        <v>0</v>
      </c>
      <c r="M37" s="167">
        <f t="shared" si="1"/>
        <v>494952</v>
      </c>
      <c r="N37" s="75"/>
    </row>
    <row r="38" spans="1:14" s="43" customFormat="1" x14ac:dyDescent="0.35">
      <c r="A38" s="76">
        <v>34</v>
      </c>
      <c r="B38" s="255" t="s">
        <v>20</v>
      </c>
      <c r="C38" s="72">
        <f>Määräytymistekijät!C11</f>
        <v>98987</v>
      </c>
      <c r="D38" s="73">
        <f>Tarvekertoimet!J10</f>
        <v>0.97522230421628464</v>
      </c>
      <c r="E38" s="73">
        <f>Tarvekertoimet!K10</f>
        <v>0.92234684807730627</v>
      </c>
      <c r="F38" s="73">
        <f>Tarvekertoimet!L10</f>
        <v>0.82113418918112535</v>
      </c>
      <c r="G38" s="72">
        <f>Määräytymistekijät!F11</f>
        <v>7269</v>
      </c>
      <c r="H38" s="72">
        <f>Määräytymistekijät!D11</f>
        <v>27358</v>
      </c>
      <c r="I38" s="74">
        <f>Määräytymistekijät!I11</f>
        <v>0.50312895868378149</v>
      </c>
      <c r="J38" s="72">
        <f>Määräytymistekijät!J11</f>
        <v>0</v>
      </c>
      <c r="K38" s="77"/>
      <c r="L38" s="72">
        <f>Määräytymistekijät!E11</f>
        <v>0</v>
      </c>
      <c r="M38" s="167">
        <f t="shared" si="1"/>
        <v>98987</v>
      </c>
      <c r="N38" s="75"/>
    </row>
    <row r="39" spans="1:14" s="43" customFormat="1" x14ac:dyDescent="0.35">
      <c r="A39" s="76">
        <v>35</v>
      </c>
      <c r="B39" s="255" t="s">
        <v>21</v>
      </c>
      <c r="C39" s="72">
        <f>Määräytymistekijät!C12</f>
        <v>205444</v>
      </c>
      <c r="D39" s="73">
        <f>Tarvekertoimet!J11</f>
        <v>0.91996546217621078</v>
      </c>
      <c r="E39" s="73">
        <f>Tarvekertoimet!K11</f>
        <v>0.73723929578133585</v>
      </c>
      <c r="F39" s="73">
        <f>Tarvekertoimet!L11</f>
        <v>0.82885978435702112</v>
      </c>
      <c r="G39" s="72">
        <f>Määräytymistekijät!F12</f>
        <v>15739</v>
      </c>
      <c r="H39" s="72">
        <f>Määräytymistekijät!D12</f>
        <v>0</v>
      </c>
      <c r="I39" s="74">
        <f>Määräytymistekijät!I12</f>
        <v>0.14971918536136522</v>
      </c>
      <c r="J39" s="72">
        <f>Määräytymistekijät!J12</f>
        <v>0</v>
      </c>
      <c r="K39" s="77"/>
      <c r="L39" s="72">
        <f>Määräytymistekijät!E12</f>
        <v>0</v>
      </c>
      <c r="M39" s="167">
        <f t="shared" si="1"/>
        <v>205444</v>
      </c>
      <c r="N39" s="75"/>
    </row>
    <row r="40" spans="1:14" s="43" customFormat="1" x14ac:dyDescent="0.35">
      <c r="A40" s="78">
        <v>2</v>
      </c>
      <c r="B40" s="255" t="s">
        <v>22</v>
      </c>
      <c r="C40" s="72">
        <f>Määräytymistekijät!C13</f>
        <v>490786</v>
      </c>
      <c r="D40" s="73">
        <f>Tarvekertoimet!J12</f>
        <v>1.0489031115337595</v>
      </c>
      <c r="E40" s="73">
        <f>Tarvekertoimet!K12</f>
        <v>1.0918655756697537</v>
      </c>
      <c r="F40" s="73">
        <f>Tarvekertoimet!L12</f>
        <v>1.0247583482486076</v>
      </c>
      <c r="G40" s="72">
        <f>Määräytymistekijät!F13</f>
        <v>49484</v>
      </c>
      <c r="H40" s="72">
        <f>Määräytymistekijät!D13</f>
        <v>27498</v>
      </c>
      <c r="I40" s="74">
        <f>Määräytymistekijät!I13</f>
        <v>0.4007165946020001</v>
      </c>
      <c r="J40" s="72">
        <f>Määräytymistekijät!J13</f>
        <v>22096</v>
      </c>
      <c r="K40" s="77"/>
      <c r="L40" s="72">
        <f>Määräytymistekijät!E13</f>
        <v>0</v>
      </c>
      <c r="M40" s="167">
        <f t="shared" si="1"/>
        <v>490786</v>
      </c>
      <c r="N40" s="75"/>
    </row>
    <row r="41" spans="1:14" s="43" customFormat="1" x14ac:dyDescent="0.35">
      <c r="A41" s="78">
        <v>4</v>
      </c>
      <c r="B41" s="255" t="s">
        <v>23</v>
      </c>
      <c r="C41" s="72">
        <f>Määräytymistekijät!C14</f>
        <v>211740</v>
      </c>
      <c r="D41" s="73">
        <f>Tarvekertoimet!J13</f>
        <v>1.0550427816246752</v>
      </c>
      <c r="E41" s="73">
        <f>Tarvekertoimet!K13</f>
        <v>1.1827977695306735</v>
      </c>
      <c r="F41" s="73">
        <f>Tarvekertoimet!L13</f>
        <v>1.1121408335835026</v>
      </c>
      <c r="G41" s="72">
        <f>Määräytymistekijät!F14</f>
        <v>11188</v>
      </c>
      <c r="H41" s="72">
        <f>Määräytymistekijät!D14</f>
        <v>0</v>
      </c>
      <c r="I41" s="74">
        <f>Määräytymistekijät!I14</f>
        <v>0.68088444960193417</v>
      </c>
      <c r="J41" s="72">
        <f>Määräytymistekijät!J14</f>
        <v>0</v>
      </c>
      <c r="K41" s="77"/>
      <c r="L41" s="72">
        <f>Määräytymistekijät!E14</f>
        <v>0</v>
      </c>
      <c r="M41" s="167"/>
      <c r="N41" s="75"/>
    </row>
    <row r="42" spans="1:14" s="43" customFormat="1" x14ac:dyDescent="0.35">
      <c r="A42" s="78">
        <v>5</v>
      </c>
      <c r="B42" s="255" t="s">
        <v>24</v>
      </c>
      <c r="C42" s="72">
        <f>Määräytymistekijät!C15</f>
        <v>169547</v>
      </c>
      <c r="D42" s="73">
        <f>Tarvekertoimet!J14</f>
        <v>1.0498173324586908</v>
      </c>
      <c r="E42" s="73">
        <f>Tarvekertoimet!K14</f>
        <v>1.1225980171781869</v>
      </c>
      <c r="F42" s="73">
        <f>Tarvekertoimet!L14</f>
        <v>1.0122294902913687</v>
      </c>
      <c r="G42" s="72">
        <f>Määräytymistekijät!F15</f>
        <v>9725</v>
      </c>
      <c r="H42" s="72">
        <f>Määräytymistekijät!D15</f>
        <v>0</v>
      </c>
      <c r="I42" s="74">
        <f>Määräytymistekijät!I15</f>
        <v>0.56514301314240689</v>
      </c>
      <c r="J42" s="72">
        <f>Määräytymistekijät!J15</f>
        <v>0</v>
      </c>
      <c r="K42" s="77"/>
      <c r="L42" s="72">
        <f>Määräytymistekijät!E15</f>
        <v>0</v>
      </c>
      <c r="M42" s="167"/>
      <c r="N42" s="75"/>
    </row>
    <row r="43" spans="1:14" s="43" customFormat="1" x14ac:dyDescent="0.35">
      <c r="A43" s="78">
        <v>6</v>
      </c>
      <c r="B43" s="255" t="s">
        <v>25</v>
      </c>
      <c r="C43" s="72">
        <f>Määräytymistekijät!C16</f>
        <v>539309</v>
      </c>
      <c r="D43" s="73">
        <f>Tarvekertoimet!J15</f>
        <v>1.0218491530855316</v>
      </c>
      <c r="E43" s="73">
        <f>Tarvekertoimet!K15</f>
        <v>0.99608149579956373</v>
      </c>
      <c r="F43" s="73">
        <f>Tarvekertoimet!L15</f>
        <v>0.96120962548966116</v>
      </c>
      <c r="G43" s="72">
        <f>Määräytymistekijät!F16</f>
        <v>36426</v>
      </c>
      <c r="H43" s="72">
        <f>Määräytymistekijät!D16</f>
        <v>0</v>
      </c>
      <c r="I43" s="74">
        <f>Määräytymistekijät!I16</f>
        <v>0.45271971085343488</v>
      </c>
      <c r="J43" s="72">
        <f>Määräytymistekijät!J16</f>
        <v>0</v>
      </c>
      <c r="K43" s="77"/>
      <c r="L43" s="72">
        <f>Määräytymistekijät!E16</f>
        <v>0</v>
      </c>
      <c r="M43" s="167">
        <f>C43</f>
        <v>539309</v>
      </c>
      <c r="N43" s="75"/>
    </row>
    <row r="44" spans="1:14" s="43" customFormat="1" x14ac:dyDescent="0.35">
      <c r="A44" s="78">
        <v>7</v>
      </c>
      <c r="B44" s="255" t="s">
        <v>26</v>
      </c>
      <c r="C44" s="72">
        <f>Määräytymistekijät!C17</f>
        <v>204479</v>
      </c>
      <c r="D44" s="73">
        <f>Tarvekertoimet!J16</f>
        <v>1.0579134252112259</v>
      </c>
      <c r="E44" s="73">
        <f>Tarvekertoimet!K16</f>
        <v>1.1326722142999481</v>
      </c>
      <c r="F44" s="73">
        <f>Tarvekertoimet!L16</f>
        <v>1.0648917741098554</v>
      </c>
      <c r="G44" s="72">
        <f>Määräytymistekijät!F17</f>
        <v>14366</v>
      </c>
      <c r="H44" s="72">
        <f>Määräytymistekijät!D17</f>
        <v>0</v>
      </c>
      <c r="I44" s="74">
        <f>Määräytymistekijät!I17</f>
        <v>0.51508497252066965</v>
      </c>
      <c r="J44" s="72">
        <f>Määräytymistekijät!J17</f>
        <v>0</v>
      </c>
      <c r="K44" s="77"/>
      <c r="L44" s="72">
        <f>Määräytymistekijät!E17</f>
        <v>0</v>
      </c>
      <c r="M44" s="167"/>
      <c r="N44" s="75"/>
    </row>
    <row r="45" spans="1:14" s="43" customFormat="1" x14ac:dyDescent="0.35">
      <c r="A45" s="78">
        <v>8</v>
      </c>
      <c r="B45" s="255" t="s">
        <v>27</v>
      </c>
      <c r="C45" s="72">
        <f>Määräytymistekijät!C18</f>
        <v>158658</v>
      </c>
      <c r="D45" s="73">
        <f>Tarvekertoimet!J17</f>
        <v>1.1390774198429925</v>
      </c>
      <c r="E45" s="73">
        <f>Tarvekertoimet!K17</f>
        <v>1.4184952275782703</v>
      </c>
      <c r="F45" s="73">
        <f>Tarvekertoimet!L17</f>
        <v>1.1575434197456498</v>
      </c>
      <c r="G45" s="72">
        <f>Määräytymistekijät!F18</f>
        <v>11575</v>
      </c>
      <c r="H45" s="72">
        <f>Määräytymistekijät!D18</f>
        <v>1179</v>
      </c>
      <c r="I45" s="74">
        <f>Määräytymistekijät!I18</f>
        <v>0.52958678268506998</v>
      </c>
      <c r="J45" s="72">
        <f>Määräytymistekijät!J18</f>
        <v>0</v>
      </c>
      <c r="K45" s="77"/>
      <c r="L45" s="72">
        <f>Määräytymistekijät!E18</f>
        <v>0</v>
      </c>
      <c r="M45" s="167"/>
      <c r="N45" s="75"/>
    </row>
    <row r="46" spans="1:14" s="43" customFormat="1" x14ac:dyDescent="0.35">
      <c r="A46" s="78">
        <v>9</v>
      </c>
      <c r="B46" s="255" t="s">
        <v>28</v>
      </c>
      <c r="C46" s="72">
        <f>Määräytymistekijät!C19</f>
        <v>125162</v>
      </c>
      <c r="D46" s="73">
        <f>Tarvekertoimet!J18</f>
        <v>1.0169883002996531</v>
      </c>
      <c r="E46" s="73">
        <f>Tarvekertoimet!K18</f>
        <v>1.1896589865948584</v>
      </c>
      <c r="F46" s="73">
        <f>Tarvekertoimet!L18</f>
        <v>0.97836612890217456</v>
      </c>
      <c r="G46" s="72">
        <f>Määräytymistekijät!F19</f>
        <v>10493</v>
      </c>
      <c r="H46" s="72">
        <f>Määräytymistekijät!D19</f>
        <v>0</v>
      </c>
      <c r="I46" s="74">
        <f>Määräytymistekijät!I19</f>
        <v>0.78427393492688968</v>
      </c>
      <c r="J46" s="72">
        <f>Määräytymistekijät!J19</f>
        <v>0</v>
      </c>
      <c r="K46" s="77"/>
      <c r="L46" s="72">
        <f>Määräytymistekijät!E19</f>
        <v>0</v>
      </c>
      <c r="M46" s="167"/>
      <c r="N46" s="75"/>
    </row>
    <row r="47" spans="1:14" s="43" customFormat="1" x14ac:dyDescent="0.35">
      <c r="A47" s="78">
        <v>10</v>
      </c>
      <c r="B47" s="255" t="s">
        <v>29</v>
      </c>
      <c r="C47" s="72">
        <f>Määräytymistekijät!C20</f>
        <v>129914</v>
      </c>
      <c r="D47" s="73">
        <f>Tarvekertoimet!J19</f>
        <v>1.1402913051387844</v>
      </c>
      <c r="E47" s="73">
        <f>Tarvekertoimet!K19</f>
        <v>1.4774270521218891</v>
      </c>
      <c r="F47" s="73">
        <f>Tarvekertoimet!L19</f>
        <v>1.1967894146130593</v>
      </c>
      <c r="G47" s="72">
        <f>Määräytymistekijät!F20</f>
        <v>6300</v>
      </c>
      <c r="H47" s="72">
        <f>Määräytymistekijät!D20</f>
        <v>0</v>
      </c>
      <c r="I47" s="74">
        <f>Määräytymistekijät!I20</f>
        <v>1.7947223910403798</v>
      </c>
      <c r="J47" s="72">
        <f>Määräytymistekijät!J20</f>
        <v>5662</v>
      </c>
      <c r="K47" s="77"/>
      <c r="L47" s="72">
        <f>Määräytymistekijät!E20</f>
        <v>0</v>
      </c>
      <c r="M47" s="167"/>
      <c r="N47" s="75"/>
    </row>
    <row r="48" spans="1:14" s="43" customFormat="1" x14ac:dyDescent="0.35">
      <c r="A48" s="78">
        <v>11</v>
      </c>
      <c r="B48" s="255" t="s">
        <v>30</v>
      </c>
      <c r="C48" s="72">
        <f>Määräytymistekijät!C21</f>
        <v>248190</v>
      </c>
      <c r="D48" s="73">
        <f>Tarvekertoimet!J20</f>
        <v>1.1007951919919805</v>
      </c>
      <c r="E48" s="73">
        <f>Tarvekertoimet!K20</f>
        <v>1.2168318317914824</v>
      </c>
      <c r="F48" s="73">
        <f>Tarvekertoimet!L20</f>
        <v>1.1843939943203468</v>
      </c>
      <c r="G48" s="72">
        <f>Määräytymistekijät!F21</f>
        <v>11129</v>
      </c>
      <c r="H48" s="72">
        <f>Määräytymistekijät!D21</f>
        <v>0</v>
      </c>
      <c r="I48" s="74">
        <f>Määräytymistekijät!I21</f>
        <v>1.2879637013008971</v>
      </c>
      <c r="J48" s="72">
        <f>Määräytymistekijät!J21</f>
        <v>0</v>
      </c>
      <c r="K48" s="77"/>
      <c r="L48" s="72">
        <f>Määräytymistekijät!E21</f>
        <v>0</v>
      </c>
      <c r="M48" s="167">
        <f>C48</f>
        <v>248190</v>
      </c>
      <c r="N48" s="75"/>
    </row>
    <row r="49" spans="1:17" s="43" customFormat="1" x14ac:dyDescent="0.35">
      <c r="A49" s="78">
        <v>12</v>
      </c>
      <c r="B49" s="255" t="s">
        <v>31</v>
      </c>
      <c r="C49" s="72">
        <f>Määräytymistekijät!C22</f>
        <v>162321</v>
      </c>
      <c r="D49" s="73">
        <f>Tarvekertoimet!J21</f>
        <v>1.1704419502441281</v>
      </c>
      <c r="E49" s="73">
        <f>Tarvekertoimet!K21</f>
        <v>1.3113937509204714</v>
      </c>
      <c r="F49" s="73">
        <f>Tarvekertoimet!L21</f>
        <v>1.2639954381900385</v>
      </c>
      <c r="G49" s="72">
        <f>Määräytymistekijät!F22</f>
        <v>9301</v>
      </c>
      <c r="H49" s="72">
        <f>Määräytymistekijät!D22</f>
        <v>0</v>
      </c>
      <c r="I49" s="74">
        <f>Määräytymistekijät!I22</f>
        <v>2.1337167706397349</v>
      </c>
      <c r="J49" s="72">
        <f>Määräytymistekijät!J22</f>
        <v>0</v>
      </c>
      <c r="K49" s="77"/>
      <c r="L49" s="72">
        <f>Määräytymistekijät!E22</f>
        <v>0</v>
      </c>
      <c r="M49" s="167"/>
      <c r="N49" s="75"/>
    </row>
    <row r="50" spans="1:17" s="43" customFormat="1" x14ac:dyDescent="0.35">
      <c r="A50" s="78">
        <v>13</v>
      </c>
      <c r="B50" s="255" t="s">
        <v>32</v>
      </c>
      <c r="C50" s="72">
        <f>Määräytymistekijät!C23</f>
        <v>273271</v>
      </c>
      <c r="D50" s="73">
        <f>Tarvekertoimet!J22</f>
        <v>0.9709548161927114</v>
      </c>
      <c r="E50" s="73">
        <f>Tarvekertoimet!K22</f>
        <v>1.01492029320312</v>
      </c>
      <c r="F50" s="73">
        <f>Tarvekertoimet!L22</f>
        <v>1.0179366717917275</v>
      </c>
      <c r="G50" s="72">
        <f>Määräytymistekijät!F23</f>
        <v>13067</v>
      </c>
      <c r="H50" s="72">
        <f>Määräytymistekijät!D23</f>
        <v>0</v>
      </c>
      <c r="I50" s="74">
        <f>Määräytymistekijät!I23</f>
        <v>1.0818520554009319</v>
      </c>
      <c r="J50" s="72">
        <f>Määräytymistekijät!J23</f>
        <v>0</v>
      </c>
      <c r="K50" s="77"/>
      <c r="L50" s="72">
        <f>Määräytymistekijät!E23</f>
        <v>0</v>
      </c>
      <c r="M50" s="167"/>
      <c r="N50" s="75"/>
    </row>
    <row r="51" spans="1:17" s="43" customFormat="1" x14ac:dyDescent="0.35">
      <c r="A51" s="78">
        <v>14</v>
      </c>
      <c r="B51" s="255" t="s">
        <v>33</v>
      </c>
      <c r="C51" s="72">
        <f>Määräytymistekijät!C24</f>
        <v>190539</v>
      </c>
      <c r="D51" s="73">
        <f>Tarvekertoimet!J23</f>
        <v>1.0731327950876421</v>
      </c>
      <c r="E51" s="73">
        <f>Tarvekertoimet!K23</f>
        <v>1.2662735317573206</v>
      </c>
      <c r="F51" s="73">
        <f>Tarvekertoimet!L23</f>
        <v>1.0731093638221296</v>
      </c>
      <c r="G51" s="72">
        <f>Määräytymistekijät!F24</f>
        <v>7133</v>
      </c>
      <c r="H51" s="72">
        <f>Määräytymistekijät!D24</f>
        <v>0</v>
      </c>
      <c r="I51" s="74">
        <f>Määräytymistekijät!I24</f>
        <v>1.3345513772650723</v>
      </c>
      <c r="J51" s="72">
        <f>Määräytymistekijät!J24</f>
        <v>0</v>
      </c>
      <c r="K51" s="77"/>
      <c r="L51" s="72">
        <f>Määräytymistekijät!E24</f>
        <v>0</v>
      </c>
      <c r="M51" s="167"/>
      <c r="N51" s="75"/>
    </row>
    <row r="52" spans="1:17" s="43" customFormat="1" x14ac:dyDescent="0.35">
      <c r="A52" s="78">
        <v>15</v>
      </c>
      <c r="B52" s="255" t="s">
        <v>34</v>
      </c>
      <c r="C52" s="72">
        <f>Määräytymistekijät!C25</f>
        <v>177602</v>
      </c>
      <c r="D52" s="73">
        <f>Tarvekertoimet!J24</f>
        <v>0.95139812790909017</v>
      </c>
      <c r="E52" s="73">
        <f>Tarvekertoimet!K24</f>
        <v>0.95812238681717776</v>
      </c>
      <c r="F52" s="73">
        <f>Tarvekertoimet!L24</f>
        <v>0.84510381836851323</v>
      </c>
      <c r="G52" s="72">
        <f>Määräytymistekijät!F25</f>
        <v>17207</v>
      </c>
      <c r="H52" s="72">
        <f>Määräytymistekijät!D25</f>
        <v>88629</v>
      </c>
      <c r="I52" s="74">
        <f>Määräytymistekijät!I25</f>
        <v>0.76814598434925607</v>
      </c>
      <c r="J52" s="72">
        <f>Määräytymistekijät!J25</f>
        <v>5413</v>
      </c>
      <c r="K52" s="77"/>
      <c r="L52" s="72">
        <f>Määräytymistekijät!E25</f>
        <v>0</v>
      </c>
      <c r="M52" s="167"/>
      <c r="N52" s="75"/>
    </row>
    <row r="53" spans="1:17" s="43" customFormat="1" x14ac:dyDescent="0.35">
      <c r="A53" s="78">
        <v>16</v>
      </c>
      <c r="B53" s="255" t="s">
        <v>35</v>
      </c>
      <c r="C53" s="72">
        <f>Määräytymistekijät!C26</f>
        <v>67736</v>
      </c>
      <c r="D53" s="73">
        <f>Tarvekertoimet!J25</f>
        <v>1.0861974791531812</v>
      </c>
      <c r="E53" s="73">
        <f>Tarvekertoimet!K25</f>
        <v>1.2014821858062563</v>
      </c>
      <c r="F53" s="73">
        <f>Tarvekertoimet!L25</f>
        <v>1.1838791230376897</v>
      </c>
      <c r="G53" s="72">
        <f>Määräytymistekijät!F26</f>
        <v>2907</v>
      </c>
      <c r="H53" s="72">
        <f>Määräytymistekijät!D26</f>
        <v>5984</v>
      </c>
      <c r="I53" s="74">
        <f>Määräytymistekijät!I26</f>
        <v>1.3658636103280719</v>
      </c>
      <c r="J53" s="72">
        <f>Määräytymistekijät!J26</f>
        <v>0</v>
      </c>
      <c r="K53" s="77"/>
      <c r="L53" s="72">
        <f>Määräytymistekijät!E26</f>
        <v>0</v>
      </c>
      <c r="M53" s="167"/>
      <c r="N53" s="75"/>
    </row>
    <row r="54" spans="1:17" s="43" customFormat="1" x14ac:dyDescent="0.35">
      <c r="A54" s="78">
        <v>17</v>
      </c>
      <c r="B54" s="255" t="s">
        <v>36</v>
      </c>
      <c r="C54" s="72">
        <f>Määräytymistekijät!C27</f>
        <v>418205</v>
      </c>
      <c r="D54" s="73">
        <f>Tarvekertoimet!J26</f>
        <v>0.98325858637070362</v>
      </c>
      <c r="E54" s="73">
        <f>Tarvekertoimet!K26</f>
        <v>0.98082724774459595</v>
      </c>
      <c r="F54" s="73">
        <f>Tarvekertoimet!L26</f>
        <v>1.195484060810553</v>
      </c>
      <c r="G54" s="72">
        <f>Määräytymistekijät!F27</f>
        <v>17873</v>
      </c>
      <c r="H54" s="72">
        <f>Määräytymistekijät!D27</f>
        <v>0</v>
      </c>
      <c r="I54" s="74">
        <f>Määräytymistekijät!I27</f>
        <v>1.6230369785526459</v>
      </c>
      <c r="J54" s="72">
        <f>Määräytymistekijät!J27</f>
        <v>935</v>
      </c>
      <c r="K54" s="77"/>
      <c r="L54" s="72">
        <f>Määräytymistekijät!E27</f>
        <v>0</v>
      </c>
      <c r="M54" s="167">
        <f>C54</f>
        <v>418205</v>
      </c>
      <c r="N54" s="75"/>
    </row>
    <row r="55" spans="1:17" s="43" customFormat="1" x14ac:dyDescent="0.35">
      <c r="A55" s="78">
        <v>18</v>
      </c>
      <c r="B55" s="255" t="s">
        <v>37</v>
      </c>
      <c r="C55" s="72">
        <f>Määräytymistekijät!C28</f>
        <v>70164</v>
      </c>
      <c r="D55" s="73">
        <f>Tarvekertoimet!J27</f>
        <v>1.1360298198409093</v>
      </c>
      <c r="E55" s="73">
        <f>Tarvekertoimet!K27</f>
        <v>1.4290902245330286</v>
      </c>
      <c r="F55" s="73">
        <f>Tarvekertoimet!L27</f>
        <v>1.249046969963487</v>
      </c>
      <c r="G55" s="72">
        <f>Määräytymistekijät!F28</f>
        <v>3621</v>
      </c>
      <c r="H55" s="72">
        <f>Määräytymistekijät!D28</f>
        <v>0</v>
      </c>
      <c r="I55" s="74">
        <f>Määräytymistekijät!I28</f>
        <v>5.3050839916290249</v>
      </c>
      <c r="J55" s="72">
        <f>Määräytymistekijät!J28</f>
        <v>0</v>
      </c>
      <c r="K55" s="77"/>
      <c r="L55" s="72">
        <f>Määräytymistekijät!E28</f>
        <v>0</v>
      </c>
      <c r="M55" s="167"/>
      <c r="N55" s="75"/>
    </row>
    <row r="56" spans="1:17" s="43" customFormat="1" x14ac:dyDescent="0.35">
      <c r="A56" s="78">
        <v>19</v>
      </c>
      <c r="B56" s="255" t="s">
        <v>38</v>
      </c>
      <c r="C56" s="72">
        <f>Määräytymistekijät!C29</f>
        <v>176150</v>
      </c>
      <c r="D56" s="73">
        <f>Tarvekertoimet!J28</f>
        <v>1.1214412691799862</v>
      </c>
      <c r="E56" s="73">
        <f>Tarvekertoimet!K28</f>
        <v>1.2545470340897171</v>
      </c>
      <c r="F56" s="73">
        <f>Tarvekertoimet!L28</f>
        <v>1.3383071199634533</v>
      </c>
      <c r="G56" s="72">
        <f>Määräytymistekijät!F29</f>
        <v>7097</v>
      </c>
      <c r="H56" s="72">
        <f>Määräytymistekijät!D29</f>
        <v>0</v>
      </c>
      <c r="I56" s="74">
        <f>Määräytymistekijät!I29</f>
        <v>9.6971191271789507</v>
      </c>
      <c r="J56" s="72">
        <f>Määräytymistekijät!J29</f>
        <v>0</v>
      </c>
      <c r="K56" s="77"/>
      <c r="L56" s="72">
        <f>Määräytymistekijät!E29</f>
        <v>1554</v>
      </c>
      <c r="M56" s="167"/>
      <c r="N56" s="75"/>
    </row>
    <row r="57" spans="1:17" s="43" customFormat="1" x14ac:dyDescent="0.35">
      <c r="A57" s="79"/>
      <c r="B57" s="256" t="s">
        <v>39</v>
      </c>
      <c r="C57" s="60">
        <f>Määräytymistekijät!C30</f>
        <v>5573310</v>
      </c>
      <c r="D57" s="80">
        <v>0</v>
      </c>
      <c r="E57" s="80">
        <v>0</v>
      </c>
      <c r="F57" s="80">
        <v>0</v>
      </c>
      <c r="G57" s="60">
        <f>Määräytymistekijät!F30</f>
        <v>555250</v>
      </c>
      <c r="H57" s="60">
        <f>Määräytymistekijät!D30</f>
        <v>249843</v>
      </c>
      <c r="I57" s="81">
        <f>Määräytymistekijät!I30</f>
        <v>1</v>
      </c>
      <c r="J57" s="60">
        <f>Määräytymistekijät!J30</f>
        <v>34106</v>
      </c>
      <c r="K57" s="82"/>
      <c r="L57" s="60">
        <f>Määräytymistekijät!E30</f>
        <v>1554</v>
      </c>
      <c r="M57" s="168">
        <f>SUM(M35:M56)</f>
        <v>3456027</v>
      </c>
      <c r="N57" s="75"/>
    </row>
    <row r="58" spans="1:17" s="43" customFormat="1" x14ac:dyDescent="0.35">
      <c r="A58" s="38"/>
      <c r="B58" s="61"/>
      <c r="C58" s="83"/>
      <c r="D58" s="84"/>
      <c r="E58" s="61"/>
      <c r="F58" s="84"/>
      <c r="G58" s="83"/>
      <c r="H58" s="83"/>
      <c r="I58" s="85"/>
      <c r="J58" s="86"/>
      <c r="K58" s="85"/>
      <c r="L58" s="83"/>
      <c r="M58" s="83"/>
      <c r="N58" s="75"/>
    </row>
    <row r="59" spans="1:17" s="43" customFormat="1" ht="17" thickBot="1" x14ac:dyDescent="0.4">
      <c r="A59" s="252" t="s">
        <v>320</v>
      </c>
      <c r="B59" s="51"/>
      <c r="C59" s="51"/>
      <c r="D59" s="51"/>
      <c r="E59" s="51"/>
      <c r="F59" s="51"/>
      <c r="G59" s="51"/>
      <c r="H59" s="51"/>
      <c r="I59" s="51"/>
      <c r="J59" s="51"/>
      <c r="K59" s="51"/>
      <c r="L59" s="51"/>
      <c r="M59" s="51"/>
      <c r="N59" s="51"/>
    </row>
    <row r="60" spans="1:17" s="43" customFormat="1" ht="34" customHeight="1" thickTop="1" x14ac:dyDescent="0.35">
      <c r="A60" s="52" t="s">
        <v>8</v>
      </c>
      <c r="B60" s="52" t="s">
        <v>9</v>
      </c>
      <c r="C60" s="87" t="s">
        <v>168</v>
      </c>
      <c r="D60" s="53" t="s">
        <v>169</v>
      </c>
      <c r="E60" s="53" t="s">
        <v>170</v>
      </c>
      <c r="F60" s="53" t="s">
        <v>171</v>
      </c>
      <c r="G60" s="54" t="s">
        <v>172</v>
      </c>
      <c r="H60" s="52" t="s">
        <v>173</v>
      </c>
      <c r="I60" s="52" t="s">
        <v>14</v>
      </c>
      <c r="J60" s="52" t="s">
        <v>174</v>
      </c>
      <c r="K60" s="52" t="s">
        <v>175</v>
      </c>
      <c r="L60" s="55" t="s">
        <v>176</v>
      </c>
      <c r="M60" s="55" t="s">
        <v>199</v>
      </c>
      <c r="N60" s="88" t="s">
        <v>315</v>
      </c>
    </row>
    <row r="61" spans="1:17" s="43" customFormat="1" x14ac:dyDescent="0.35">
      <c r="A61" s="71">
        <v>31</v>
      </c>
      <c r="B61" s="59" t="s">
        <v>17</v>
      </c>
      <c r="C61" s="72">
        <f>C35*$B$30</f>
        <v>415183769.22504336</v>
      </c>
      <c r="D61" s="72">
        <f>D35*C35*$D$30</f>
        <v>1312802736.4197738</v>
      </c>
      <c r="E61" s="72">
        <f>E35*C35*$E$30</f>
        <v>382861299.53583151</v>
      </c>
      <c r="F61" s="72">
        <f>F35*C35*$F$30</f>
        <v>450109002.63908619</v>
      </c>
      <c r="G61" s="72">
        <f>G35*$G$30</f>
        <v>121395741.0663445</v>
      </c>
      <c r="H61" s="72">
        <f>H35*$H$30</f>
        <v>18843399.76696635</v>
      </c>
      <c r="I61" s="72">
        <f>I35*C35*$I$30</f>
        <v>271896.63463948487</v>
      </c>
      <c r="J61" s="72">
        <f>J35*$J$30</f>
        <v>0</v>
      </c>
      <c r="K61" s="72">
        <f>C35*$K$30</f>
        <v>30928469.101984758</v>
      </c>
      <c r="L61" s="72">
        <f>L35*$L$30</f>
        <v>0</v>
      </c>
      <c r="M61" s="72">
        <f>M35*$M$30</f>
        <v>27885223.407462478</v>
      </c>
      <c r="N61" s="89">
        <f>SUM(C61:M61)</f>
        <v>2760281537.797132</v>
      </c>
      <c r="P61" s="389"/>
      <c r="Q61" s="441"/>
    </row>
    <row r="62" spans="1:17" s="43" customFormat="1" x14ac:dyDescent="0.35">
      <c r="A62" s="90">
        <v>32</v>
      </c>
      <c r="B62" s="56" t="s">
        <v>49</v>
      </c>
      <c r="C62" s="72">
        <f t="shared" ref="C62:C82" si="2">C36*$B$30</f>
        <v>175832326.78163162</v>
      </c>
      <c r="D62" s="72">
        <f t="shared" ref="D62:D82" si="3">D36*C36*$D$30</f>
        <v>569305158.42246366</v>
      </c>
      <c r="E62" s="72">
        <f t="shared" ref="E62:E82" si="4">E36*C36*$E$30</f>
        <v>130784572.92755818</v>
      </c>
      <c r="F62" s="72">
        <f t="shared" ref="F62:F82" si="5">F36*C36*$F$30</f>
        <v>202876806.83129254</v>
      </c>
      <c r="G62" s="72">
        <f t="shared" ref="G62:G82" si="6">G36*$G$30</f>
        <v>66992355.416258618</v>
      </c>
      <c r="H62" s="72">
        <f t="shared" ref="H62:H82" si="7">H36*$H$30</f>
        <v>2986794.4479178018</v>
      </c>
      <c r="I62" s="72">
        <f t="shared" ref="I62:I82" si="8">I36*C36*$I$30</f>
        <v>340976.70823909296</v>
      </c>
      <c r="J62" s="72">
        <f t="shared" ref="J62:J82" si="9">J36*$J$30</f>
        <v>0</v>
      </c>
      <c r="K62" s="72">
        <f t="shared" ref="K62:K82" si="10">C36*$K$30</f>
        <v>13098355.689930843</v>
      </c>
      <c r="L62" s="72">
        <f t="shared" ref="L62:L82" si="11">L36*$L$30</f>
        <v>0</v>
      </c>
      <c r="M62" s="72">
        <f t="shared" ref="M62:M83" si="12">M36*$M$30</f>
        <v>11809526.474774331</v>
      </c>
      <c r="N62" s="89">
        <f t="shared" ref="N62:N82" si="13">SUM(C62:M62)</f>
        <v>1174026873.7000666</v>
      </c>
      <c r="P62" s="389"/>
      <c r="Q62" s="441"/>
    </row>
    <row r="63" spans="1:17" s="43" customFormat="1" x14ac:dyDescent="0.35">
      <c r="A63" s="90">
        <v>33</v>
      </c>
      <c r="B63" s="56" t="s">
        <v>19</v>
      </c>
      <c r="C63" s="72">
        <f t="shared" si="2"/>
        <v>304664250.47512776</v>
      </c>
      <c r="D63" s="72">
        <f t="shared" si="3"/>
        <v>919501078.26808918</v>
      </c>
      <c r="E63" s="72">
        <f t="shared" si="4"/>
        <v>235923961.70063093</v>
      </c>
      <c r="F63" s="72">
        <f t="shared" si="5"/>
        <v>301056093.39746636</v>
      </c>
      <c r="G63" s="72">
        <f t="shared" si="6"/>
        <v>81645120.89870505</v>
      </c>
      <c r="H63" s="72">
        <f t="shared" si="7"/>
        <v>28901839.220253922</v>
      </c>
      <c r="I63" s="72">
        <f t="shared" si="8"/>
        <v>5389044.2810697546</v>
      </c>
      <c r="J63" s="72">
        <f t="shared" si="9"/>
        <v>0</v>
      </c>
      <c r="K63" s="72">
        <f t="shared" si="10"/>
        <v>22695489.457324773</v>
      </c>
      <c r="L63" s="72">
        <f t="shared" si="11"/>
        <v>0</v>
      </c>
      <c r="M63" s="72">
        <f t="shared" si="12"/>
        <v>20462338.170452733</v>
      </c>
      <c r="N63" s="89">
        <f t="shared" si="13"/>
        <v>1920239215.8691206</v>
      </c>
      <c r="P63" s="389"/>
      <c r="Q63" s="441"/>
    </row>
    <row r="64" spans="1:17" s="43" customFormat="1" x14ac:dyDescent="0.35">
      <c r="A64" s="90">
        <v>34</v>
      </c>
      <c r="B64" s="56" t="s">
        <v>20</v>
      </c>
      <c r="C64" s="72">
        <f t="shared" si="2"/>
        <v>60930757.248746283</v>
      </c>
      <c r="D64" s="72">
        <f t="shared" si="3"/>
        <v>210626406.86521155</v>
      </c>
      <c r="E64" s="72">
        <f t="shared" si="4"/>
        <v>68250987.834963053</v>
      </c>
      <c r="F64" s="72">
        <f t="shared" si="5"/>
        <v>65795834.428531952</v>
      </c>
      <c r="G64" s="72">
        <f t="shared" si="6"/>
        <v>6691227.0569106154</v>
      </c>
      <c r="H64" s="72">
        <f t="shared" si="7"/>
        <v>13991904.538721785</v>
      </c>
      <c r="I64" s="72">
        <f t="shared" si="8"/>
        <v>3425509.7340259226</v>
      </c>
      <c r="J64" s="72">
        <f t="shared" si="9"/>
        <v>0</v>
      </c>
      <c r="K64" s="72">
        <f t="shared" si="10"/>
        <v>4538941.9881366426</v>
      </c>
      <c r="L64" s="72">
        <f t="shared" si="11"/>
        <v>0</v>
      </c>
      <c r="M64" s="72">
        <f t="shared" si="12"/>
        <v>4092327.0710666985</v>
      </c>
      <c r="N64" s="89">
        <f t="shared" si="13"/>
        <v>438343896.76631445</v>
      </c>
      <c r="P64" s="389"/>
      <c r="Q64" s="441"/>
    </row>
    <row r="65" spans="1:17" s="43" customFormat="1" x14ac:dyDescent="0.35">
      <c r="A65" s="90">
        <v>35</v>
      </c>
      <c r="B65" s="56" t="s">
        <v>21</v>
      </c>
      <c r="C65" s="72">
        <f t="shared" si="2"/>
        <v>126459620.88164538</v>
      </c>
      <c r="D65" s="72">
        <f t="shared" si="3"/>
        <v>412378502.0034883</v>
      </c>
      <c r="E65" s="72">
        <f t="shared" si="4"/>
        <v>113223988.37449348</v>
      </c>
      <c r="F65" s="72">
        <f t="shared" si="5"/>
        <v>137841703.7557396</v>
      </c>
      <c r="G65" s="72">
        <f t="shared" si="6"/>
        <v>14487993.210718969</v>
      </c>
      <c r="H65" s="72">
        <f t="shared" si="7"/>
        <v>0</v>
      </c>
      <c r="I65" s="72">
        <f t="shared" si="8"/>
        <v>2115624.7861487302</v>
      </c>
      <c r="J65" s="72">
        <f t="shared" si="9"/>
        <v>0</v>
      </c>
      <c r="K65" s="72">
        <f t="shared" si="10"/>
        <v>9420412.7593597583</v>
      </c>
      <c r="L65" s="72">
        <f t="shared" si="11"/>
        <v>0</v>
      </c>
      <c r="M65" s="72">
        <f t="shared" si="12"/>
        <v>8493479.3739402834</v>
      </c>
      <c r="N65" s="89">
        <f t="shared" si="13"/>
        <v>824421325.14553452</v>
      </c>
      <c r="P65" s="389"/>
      <c r="Q65" s="441"/>
    </row>
    <row r="66" spans="1:17" s="43" customFormat="1" x14ac:dyDescent="0.35">
      <c r="A66" s="56">
        <v>2</v>
      </c>
      <c r="B66" s="56" t="s">
        <v>22</v>
      </c>
      <c r="C66" s="72">
        <f t="shared" si="2"/>
        <v>302099898.24000317</v>
      </c>
      <c r="D66" s="72">
        <f t="shared" si="3"/>
        <v>1123203817.298595</v>
      </c>
      <c r="E66" s="72">
        <f t="shared" si="4"/>
        <v>400587921.86326659</v>
      </c>
      <c r="F66" s="72">
        <f t="shared" si="5"/>
        <v>407117463.86896205</v>
      </c>
      <c r="G66" s="72">
        <f t="shared" si="6"/>
        <v>45550788.235543393</v>
      </c>
      <c r="H66" s="72">
        <f t="shared" si="7"/>
        <v>14063505.775486937</v>
      </c>
      <c r="I66" s="72">
        <f t="shared" si="8"/>
        <v>13526867.079746518</v>
      </c>
      <c r="J66" s="72">
        <f t="shared" si="9"/>
        <v>18709017.747649621</v>
      </c>
      <c r="K66" s="72">
        <f t="shared" si="10"/>
        <v>22504462.026221931</v>
      </c>
      <c r="L66" s="72">
        <f t="shared" si="11"/>
        <v>0</v>
      </c>
      <c r="M66" s="72">
        <f t="shared" si="12"/>
        <v>20290107.124173284</v>
      </c>
      <c r="N66" s="89">
        <f t="shared" si="13"/>
        <v>2367653849.2596478</v>
      </c>
      <c r="P66" s="389"/>
      <c r="Q66" s="441"/>
    </row>
    <row r="67" spans="1:17" s="43" customFormat="1" x14ac:dyDescent="0.35">
      <c r="A67" s="56">
        <v>4</v>
      </c>
      <c r="B67" s="56" t="s">
        <v>23</v>
      </c>
      <c r="C67" s="72">
        <f t="shared" si="2"/>
        <v>130335079.75642799</v>
      </c>
      <c r="D67" s="72">
        <f t="shared" si="3"/>
        <v>487420746.60500509</v>
      </c>
      <c r="E67" s="72">
        <f t="shared" si="4"/>
        <v>187218998.1432662</v>
      </c>
      <c r="F67" s="72">
        <f t="shared" si="5"/>
        <v>190620145.7056216</v>
      </c>
      <c r="G67" s="72">
        <f t="shared" si="6"/>
        <v>10298727.240709309</v>
      </c>
      <c r="H67" s="72">
        <f t="shared" si="7"/>
        <v>0</v>
      </c>
      <c r="I67" s="72">
        <f t="shared" si="8"/>
        <v>9916172.0475021992</v>
      </c>
      <c r="J67" s="72">
        <f t="shared" si="9"/>
        <v>0</v>
      </c>
      <c r="K67" s="72">
        <f t="shared" si="10"/>
        <v>9709109.0402583443</v>
      </c>
      <c r="L67" s="72">
        <f t="shared" si="11"/>
        <v>0</v>
      </c>
      <c r="M67" s="72">
        <f t="shared" si="12"/>
        <v>0</v>
      </c>
      <c r="N67" s="89">
        <f t="shared" si="13"/>
        <v>1025518978.5387906</v>
      </c>
      <c r="P67" s="389"/>
      <c r="Q67" s="441"/>
    </row>
    <row r="68" spans="1:17" s="43" customFormat="1" x14ac:dyDescent="0.35">
      <c r="A68" s="56">
        <v>5</v>
      </c>
      <c r="B68" s="56" t="s">
        <v>24</v>
      </c>
      <c r="C68" s="72">
        <f t="shared" si="2"/>
        <v>104363472.973756</v>
      </c>
      <c r="D68" s="72">
        <f t="shared" si="3"/>
        <v>388360346.33832026</v>
      </c>
      <c r="E68" s="72">
        <f t="shared" si="4"/>
        <v>142282304.84560356</v>
      </c>
      <c r="F68" s="72">
        <f t="shared" si="5"/>
        <v>138923333.99769324</v>
      </c>
      <c r="G68" s="72">
        <f t="shared" si="6"/>
        <v>8952013.086869685</v>
      </c>
      <c r="H68" s="72">
        <f t="shared" si="7"/>
        <v>0</v>
      </c>
      <c r="I68" s="72">
        <f t="shared" si="8"/>
        <v>6590467.17577413</v>
      </c>
      <c r="J68" s="72">
        <f t="shared" si="9"/>
        <v>0</v>
      </c>
      <c r="K68" s="72">
        <f t="shared" si="10"/>
        <v>7774394.5898209186</v>
      </c>
      <c r="L68" s="72">
        <f t="shared" si="11"/>
        <v>0</v>
      </c>
      <c r="M68" s="72">
        <f t="shared" si="12"/>
        <v>0</v>
      </c>
      <c r="N68" s="89">
        <f t="shared" si="13"/>
        <v>797246333.00783777</v>
      </c>
      <c r="P68" s="389"/>
      <c r="Q68" s="441"/>
    </row>
    <row r="69" spans="1:17" s="43" customFormat="1" x14ac:dyDescent="0.35">
      <c r="A69" s="56">
        <v>6</v>
      </c>
      <c r="B69" s="56" t="s">
        <v>25</v>
      </c>
      <c r="C69" s="72">
        <f t="shared" si="2"/>
        <v>331967892.36025041</v>
      </c>
      <c r="D69" s="72">
        <f t="shared" si="3"/>
        <v>1202418054.2471123</v>
      </c>
      <c r="E69" s="72">
        <f t="shared" si="4"/>
        <v>401577203.83075356</v>
      </c>
      <c r="F69" s="72">
        <f t="shared" si="5"/>
        <v>419625508.72170228</v>
      </c>
      <c r="G69" s="72">
        <f t="shared" si="6"/>
        <v>33530697.03879847</v>
      </c>
      <c r="H69" s="72">
        <f t="shared" si="7"/>
        <v>0</v>
      </c>
      <c r="I69" s="72">
        <f t="shared" si="8"/>
        <v>16793251.814878959</v>
      </c>
      <c r="J69" s="72">
        <f t="shared" si="9"/>
        <v>0</v>
      </c>
      <c r="K69" s="72">
        <f t="shared" si="10"/>
        <v>24729431.790841065</v>
      </c>
      <c r="L69" s="72">
        <f t="shared" si="11"/>
        <v>0</v>
      </c>
      <c r="M69" s="72">
        <f t="shared" si="12"/>
        <v>22296148.184811238</v>
      </c>
      <c r="N69" s="89">
        <f t="shared" si="13"/>
        <v>2452938187.9891481</v>
      </c>
      <c r="P69" s="389"/>
      <c r="Q69" s="441"/>
    </row>
    <row r="70" spans="1:17" s="43" customFormat="1" x14ac:dyDescent="0.35">
      <c r="A70" s="56">
        <v>7</v>
      </c>
      <c r="B70" s="56" t="s">
        <v>26</v>
      </c>
      <c r="C70" s="72">
        <f t="shared" si="2"/>
        <v>125865621.86414772</v>
      </c>
      <c r="D70" s="72">
        <f t="shared" si="3"/>
        <v>471986821.15762436</v>
      </c>
      <c r="E70" s="72">
        <f t="shared" si="4"/>
        <v>173136833.62786523</v>
      </c>
      <c r="F70" s="72">
        <f t="shared" si="5"/>
        <v>176262646.51999363</v>
      </c>
      <c r="G70" s="72">
        <f t="shared" si="6"/>
        <v>13224125.450485336</v>
      </c>
      <c r="H70" s="72">
        <f t="shared" si="7"/>
        <v>0</v>
      </c>
      <c r="I70" s="72">
        <f t="shared" si="8"/>
        <v>7244281.5530979801</v>
      </c>
      <c r="J70" s="72">
        <f t="shared" si="9"/>
        <v>0</v>
      </c>
      <c r="K70" s="72">
        <f t="shared" si="10"/>
        <v>9376163.7264710777</v>
      </c>
      <c r="L70" s="72">
        <f t="shared" si="11"/>
        <v>0</v>
      </c>
      <c r="M70" s="72">
        <f t="shared" si="12"/>
        <v>0</v>
      </c>
      <c r="N70" s="89">
        <f t="shared" si="13"/>
        <v>977096493.89968538</v>
      </c>
      <c r="P70" s="389"/>
      <c r="Q70" s="441"/>
    </row>
    <row r="71" spans="1:17" s="43" customFormat="1" x14ac:dyDescent="0.35">
      <c r="A71" s="56">
        <v>8</v>
      </c>
      <c r="B71" s="56" t="s">
        <v>27</v>
      </c>
      <c r="C71" s="72">
        <f t="shared" si="2"/>
        <v>97660824.99289389</v>
      </c>
      <c r="D71" s="72">
        <f t="shared" si="3"/>
        <v>394317679.66196549</v>
      </c>
      <c r="E71" s="72">
        <f t="shared" si="4"/>
        <v>168238878.88959184</v>
      </c>
      <c r="F71" s="72">
        <f t="shared" si="5"/>
        <v>148663847.23914388</v>
      </c>
      <c r="G71" s="72">
        <f t="shared" si="6"/>
        <v>10654966.733215075</v>
      </c>
      <c r="H71" s="72">
        <f t="shared" si="7"/>
        <v>602984.7010436795</v>
      </c>
      <c r="I71" s="72">
        <f t="shared" si="8"/>
        <v>5779188.2563717607</v>
      </c>
      <c r="J71" s="72">
        <f t="shared" si="9"/>
        <v>0</v>
      </c>
      <c r="K71" s="72">
        <f t="shared" si="10"/>
        <v>7275091.2539402489</v>
      </c>
      <c r="L71" s="72">
        <f t="shared" si="11"/>
        <v>0</v>
      </c>
      <c r="M71" s="72">
        <f t="shared" si="12"/>
        <v>0</v>
      </c>
      <c r="N71" s="89">
        <f t="shared" si="13"/>
        <v>833193461.72816586</v>
      </c>
      <c r="P71" s="389"/>
      <c r="Q71" s="441"/>
    </row>
    <row r="72" spans="1:17" s="43" customFormat="1" x14ac:dyDescent="0.35">
      <c r="A72" s="56">
        <v>9</v>
      </c>
      <c r="B72" s="56" t="s">
        <v>28</v>
      </c>
      <c r="C72" s="72">
        <f t="shared" si="2"/>
        <v>77042595.883980542</v>
      </c>
      <c r="D72" s="72">
        <f t="shared" si="3"/>
        <v>277727882.09296823</v>
      </c>
      <c r="E72" s="72">
        <f t="shared" si="4"/>
        <v>111309311.15230516</v>
      </c>
      <c r="F72" s="72">
        <f t="shared" si="5"/>
        <v>99124270.685210243</v>
      </c>
      <c r="G72" s="72">
        <f t="shared" si="6"/>
        <v>9658968.9789741486</v>
      </c>
      <c r="H72" s="72">
        <f t="shared" si="7"/>
        <v>0</v>
      </c>
      <c r="I72" s="72">
        <f t="shared" si="8"/>
        <v>6751620.213525583</v>
      </c>
      <c r="J72" s="72">
        <f t="shared" si="9"/>
        <v>0</v>
      </c>
      <c r="K72" s="72">
        <f t="shared" si="10"/>
        <v>5739168.3465420557</v>
      </c>
      <c r="L72" s="72">
        <f t="shared" si="11"/>
        <v>0</v>
      </c>
      <c r="M72" s="72">
        <f t="shared" si="12"/>
        <v>0</v>
      </c>
      <c r="N72" s="89">
        <f t="shared" si="13"/>
        <v>587353817.35350573</v>
      </c>
      <c r="P72" s="389"/>
      <c r="Q72" s="441"/>
    </row>
    <row r="73" spans="1:17" s="43" customFormat="1" x14ac:dyDescent="0.35">
      <c r="A73" s="56">
        <v>10</v>
      </c>
      <c r="B73" s="56" t="s">
        <v>29</v>
      </c>
      <c r="C73" s="72">
        <f t="shared" si="2"/>
        <v>79967656.330766916</v>
      </c>
      <c r="D73" s="72">
        <f t="shared" si="3"/>
        <v>323223403.38842046</v>
      </c>
      <c r="E73" s="72">
        <f t="shared" si="4"/>
        <v>143482360.48578691</v>
      </c>
      <c r="F73" s="72">
        <f t="shared" si="5"/>
        <v>125857701.40149519</v>
      </c>
      <c r="G73" s="72">
        <f t="shared" si="6"/>
        <v>5799247.5524194362</v>
      </c>
      <c r="H73" s="72">
        <f t="shared" si="7"/>
        <v>0</v>
      </c>
      <c r="I73" s="72">
        <f t="shared" si="8"/>
        <v>16036920.073284717</v>
      </c>
      <c r="J73" s="72">
        <f t="shared" si="9"/>
        <v>4794101.1263211509</v>
      </c>
      <c r="K73" s="72">
        <f t="shared" si="10"/>
        <v>5957066.1748187514</v>
      </c>
      <c r="L73" s="72">
        <f t="shared" si="11"/>
        <v>0</v>
      </c>
      <c r="M73" s="72">
        <f t="shared" si="12"/>
        <v>0</v>
      </c>
      <c r="N73" s="89">
        <f t="shared" si="13"/>
        <v>705118456.53331363</v>
      </c>
      <c r="P73" s="389"/>
      <c r="Q73" s="441"/>
    </row>
    <row r="74" spans="1:17" s="43" customFormat="1" x14ac:dyDescent="0.35">
      <c r="A74" s="56">
        <v>11</v>
      </c>
      <c r="B74" s="56" t="s">
        <v>30</v>
      </c>
      <c r="C74" s="72">
        <f t="shared" si="2"/>
        <v>152771622.95620981</v>
      </c>
      <c r="D74" s="72">
        <f t="shared" si="3"/>
        <v>596103723.20628393</v>
      </c>
      <c r="E74" s="72">
        <f t="shared" si="4"/>
        <v>225762264.42524779</v>
      </c>
      <c r="F74" s="72">
        <f t="shared" si="5"/>
        <v>237950475.69589821</v>
      </c>
      <c r="G74" s="72">
        <f t="shared" si="6"/>
        <v>10244416.82712316</v>
      </c>
      <c r="H74" s="72">
        <f t="shared" si="7"/>
        <v>0</v>
      </c>
      <c r="I74" s="72">
        <f t="shared" si="8"/>
        <v>21986476.268968832</v>
      </c>
      <c r="J74" s="72">
        <f t="shared" si="9"/>
        <v>0</v>
      </c>
      <c r="K74" s="72">
        <f t="shared" si="10"/>
        <v>11380484.427608002</v>
      </c>
      <c r="L74" s="72">
        <f t="shared" si="11"/>
        <v>0</v>
      </c>
      <c r="M74" s="72">
        <f t="shared" si="12"/>
        <v>10260687.320234414</v>
      </c>
      <c r="N74" s="89">
        <f t="shared" si="13"/>
        <v>1266460151.127574</v>
      </c>
      <c r="P74" s="389"/>
      <c r="Q74" s="441"/>
    </row>
    <row r="75" spans="1:17" s="43" customFormat="1" x14ac:dyDescent="0.35">
      <c r="A75" s="56">
        <v>12</v>
      </c>
      <c r="B75" s="56" t="s">
        <v>31</v>
      </c>
      <c r="C75" s="72">
        <f t="shared" si="2"/>
        <v>99915559.087291718</v>
      </c>
      <c r="D75" s="72">
        <f t="shared" si="3"/>
        <v>414529669.38078755</v>
      </c>
      <c r="E75" s="72">
        <f t="shared" si="4"/>
        <v>159127166.89567253</v>
      </c>
      <c r="F75" s="72">
        <f t="shared" si="5"/>
        <v>166083434.75905982</v>
      </c>
      <c r="G75" s="72">
        <f t="shared" si="6"/>
        <v>8561714.5214370117</v>
      </c>
      <c r="H75" s="72">
        <f t="shared" si="7"/>
        <v>0</v>
      </c>
      <c r="I75" s="72">
        <f t="shared" si="8"/>
        <v>23822054.239317607</v>
      </c>
      <c r="J75" s="72">
        <f t="shared" si="9"/>
        <v>0</v>
      </c>
      <c r="K75" s="72">
        <f t="shared" si="10"/>
        <v>7443054.1632368686</v>
      </c>
      <c r="L75" s="72">
        <f t="shared" si="11"/>
        <v>0</v>
      </c>
      <c r="M75" s="72">
        <f t="shared" si="12"/>
        <v>0</v>
      </c>
      <c r="N75" s="89">
        <f t="shared" si="13"/>
        <v>879482653.04680312</v>
      </c>
      <c r="P75" s="389"/>
      <c r="Q75" s="441"/>
    </row>
    <row r="76" spans="1:17" s="43" customFormat="1" x14ac:dyDescent="0.35">
      <c r="A76" s="56">
        <v>13</v>
      </c>
      <c r="B76" s="56" t="s">
        <v>32</v>
      </c>
      <c r="C76" s="72">
        <f t="shared" si="2"/>
        <v>168210057.52393895</v>
      </c>
      <c r="D76" s="72">
        <f t="shared" si="3"/>
        <v>578926724.08981371</v>
      </c>
      <c r="E76" s="72">
        <f t="shared" si="4"/>
        <v>207329926.42349368</v>
      </c>
      <c r="F76" s="72">
        <f t="shared" si="5"/>
        <v>225175122.74884781</v>
      </c>
      <c r="G76" s="72">
        <f t="shared" si="6"/>
        <v>12028375.836105518</v>
      </c>
      <c r="H76" s="72">
        <f t="shared" si="7"/>
        <v>0</v>
      </c>
      <c r="I76" s="72">
        <f t="shared" si="8"/>
        <v>20334296.387594867</v>
      </c>
      <c r="J76" s="72">
        <f t="shared" si="9"/>
        <v>0</v>
      </c>
      <c r="K76" s="72">
        <f t="shared" si="10"/>
        <v>12530546.59743288</v>
      </c>
      <c r="L76" s="72">
        <f t="shared" si="11"/>
        <v>0</v>
      </c>
      <c r="M76" s="72">
        <f t="shared" si="12"/>
        <v>0</v>
      </c>
      <c r="N76" s="89">
        <f t="shared" si="13"/>
        <v>1224535049.6072273</v>
      </c>
      <c r="P76" s="389"/>
      <c r="Q76" s="441"/>
    </row>
    <row r="77" spans="1:17" s="43" customFormat="1" x14ac:dyDescent="0.35">
      <c r="A77" s="56">
        <v>14</v>
      </c>
      <c r="B77" s="56" t="s">
        <v>33</v>
      </c>
      <c r="C77" s="72">
        <f t="shared" si="2"/>
        <v>117284952.11915572</v>
      </c>
      <c r="D77" s="72">
        <f t="shared" si="3"/>
        <v>446137141.27903587</v>
      </c>
      <c r="E77" s="72">
        <f t="shared" si="4"/>
        <v>180363195.87054822</v>
      </c>
      <c r="F77" s="72">
        <f t="shared" si="5"/>
        <v>165513707.82874629</v>
      </c>
      <c r="G77" s="72">
        <f t="shared" si="6"/>
        <v>6566036.9510171171</v>
      </c>
      <c r="H77" s="72">
        <f t="shared" si="7"/>
        <v>0</v>
      </c>
      <c r="I77" s="72">
        <f t="shared" si="8"/>
        <v>17489883.162591703</v>
      </c>
      <c r="J77" s="72">
        <f t="shared" si="9"/>
        <v>0</v>
      </c>
      <c r="K77" s="72">
        <f t="shared" si="10"/>
        <v>8736960.0803900287</v>
      </c>
      <c r="L77" s="72">
        <f t="shared" si="11"/>
        <v>0</v>
      </c>
      <c r="M77" s="72">
        <f t="shared" si="12"/>
        <v>0</v>
      </c>
      <c r="N77" s="89">
        <f t="shared" si="13"/>
        <v>942091877.29148495</v>
      </c>
      <c r="P77" s="389"/>
      <c r="Q77" s="441"/>
    </row>
    <row r="78" spans="1:17" s="43" customFormat="1" x14ac:dyDescent="0.35">
      <c r="A78" s="56">
        <v>15</v>
      </c>
      <c r="B78" s="56" t="s">
        <v>34</v>
      </c>
      <c r="C78" s="72">
        <f t="shared" si="2"/>
        <v>109321672.0265473</v>
      </c>
      <c r="D78" s="72">
        <f t="shared" si="3"/>
        <v>368672866.75745338</v>
      </c>
      <c r="E78" s="72">
        <f t="shared" si="4"/>
        <v>127205342.33968621</v>
      </c>
      <c r="F78" s="72">
        <f t="shared" si="5"/>
        <v>121496570.10757501</v>
      </c>
      <c r="G78" s="72">
        <f t="shared" si="6"/>
        <v>15839309.941981148</v>
      </c>
      <c r="H78" s="72">
        <f t="shared" si="7"/>
        <v>45328185.808990903</v>
      </c>
      <c r="I78" s="72">
        <f t="shared" si="8"/>
        <v>9383380.8890277166</v>
      </c>
      <c r="J78" s="72">
        <f t="shared" si="9"/>
        <v>4583269.0563010229</v>
      </c>
      <c r="K78" s="72">
        <f t="shared" si="10"/>
        <v>8143747.9161611516</v>
      </c>
      <c r="L78" s="72">
        <f t="shared" si="11"/>
        <v>0</v>
      </c>
      <c r="M78" s="72">
        <f t="shared" si="12"/>
        <v>0</v>
      </c>
      <c r="N78" s="89">
        <f t="shared" si="13"/>
        <v>809974344.84372401</v>
      </c>
      <c r="P78" s="389"/>
      <c r="Q78" s="441"/>
    </row>
    <row r="79" spans="1:17" s="43" customFormat="1" x14ac:dyDescent="0.35">
      <c r="A79" s="56">
        <v>16</v>
      </c>
      <c r="B79" s="56" t="s">
        <v>35</v>
      </c>
      <c r="C79" s="72">
        <f t="shared" si="2"/>
        <v>41694422.227172032</v>
      </c>
      <c r="D79" s="72">
        <f t="shared" si="3"/>
        <v>160531169.14445096</v>
      </c>
      <c r="E79" s="72">
        <f t="shared" si="4"/>
        <v>60837785.035478778</v>
      </c>
      <c r="F79" s="72">
        <f t="shared" si="5"/>
        <v>64913198.763900809</v>
      </c>
      <c r="G79" s="72">
        <f t="shared" si="6"/>
        <v>2675938.5134735396</v>
      </c>
      <c r="H79" s="72">
        <f t="shared" si="7"/>
        <v>3060441.4343048162</v>
      </c>
      <c r="I79" s="72">
        <f t="shared" si="8"/>
        <v>6363478.926595822</v>
      </c>
      <c r="J79" s="72">
        <f t="shared" si="9"/>
        <v>0</v>
      </c>
      <c r="K79" s="72">
        <f t="shared" si="10"/>
        <v>3105961.1313447584</v>
      </c>
      <c r="L79" s="72">
        <f t="shared" si="11"/>
        <v>0</v>
      </c>
      <c r="M79" s="72">
        <f t="shared" si="12"/>
        <v>0</v>
      </c>
      <c r="N79" s="89">
        <f t="shared" si="13"/>
        <v>343182395.17672145</v>
      </c>
      <c r="P79" s="389"/>
      <c r="Q79" s="441"/>
    </row>
    <row r="80" spans="1:17" s="43" customFormat="1" x14ac:dyDescent="0.35">
      <c r="A80" s="56">
        <v>17</v>
      </c>
      <c r="B80" s="56" t="s">
        <v>36</v>
      </c>
      <c r="C80" s="72">
        <f t="shared" si="2"/>
        <v>257423170.06487659</v>
      </c>
      <c r="D80" s="72">
        <f t="shared" si="3"/>
        <v>897197386.4997586</v>
      </c>
      <c r="E80" s="72">
        <f t="shared" si="4"/>
        <v>306632549.76736563</v>
      </c>
      <c r="F80" s="72">
        <f t="shared" si="5"/>
        <v>404705505.76703733</v>
      </c>
      <c r="G80" s="72">
        <f t="shared" si="6"/>
        <v>16452373.254665488</v>
      </c>
      <c r="H80" s="72">
        <f t="shared" si="7"/>
        <v>0</v>
      </c>
      <c r="I80" s="72">
        <f t="shared" si="8"/>
        <v>46685860.118244335</v>
      </c>
      <c r="J80" s="72">
        <f t="shared" si="9"/>
        <v>791678.65650128503</v>
      </c>
      <c r="K80" s="72">
        <f t="shared" si="10"/>
        <v>19176338.652031928</v>
      </c>
      <c r="L80" s="72">
        <f t="shared" si="11"/>
        <v>0</v>
      </c>
      <c r="M80" s="72">
        <f t="shared" si="12"/>
        <v>17289458.6436143</v>
      </c>
      <c r="N80" s="89">
        <f t="shared" si="13"/>
        <v>1966354321.4240956</v>
      </c>
      <c r="P80" s="389"/>
      <c r="Q80" s="441"/>
    </row>
    <row r="81" spans="1:17" s="43" customFormat="1" x14ac:dyDescent="0.35">
      <c r="A81" s="56">
        <v>18</v>
      </c>
      <c r="B81" s="56" t="s">
        <v>37</v>
      </c>
      <c r="C81" s="72">
        <f t="shared" si="2"/>
        <v>43188960.687777527</v>
      </c>
      <c r="D81" s="72">
        <f t="shared" si="3"/>
        <v>173914223.73515186</v>
      </c>
      <c r="E81" s="72">
        <f t="shared" si="4"/>
        <v>74956707.138276666</v>
      </c>
      <c r="F81" s="72">
        <f t="shared" si="5"/>
        <v>70941311.294340208</v>
      </c>
      <c r="G81" s="72">
        <f t="shared" si="6"/>
        <v>3333186.5694144089</v>
      </c>
      <c r="H81" s="72">
        <f t="shared" si="7"/>
        <v>0</v>
      </c>
      <c r="I81" s="72">
        <f t="shared" si="8"/>
        <v>25602025.919229422</v>
      </c>
      <c r="J81" s="72">
        <f t="shared" si="9"/>
        <v>0</v>
      </c>
      <c r="K81" s="72">
        <f t="shared" si="10"/>
        <v>3217294.4493278852</v>
      </c>
      <c r="L81" s="72">
        <f t="shared" si="11"/>
        <v>0</v>
      </c>
      <c r="M81" s="72">
        <f t="shared" si="12"/>
        <v>0</v>
      </c>
      <c r="N81" s="89">
        <f t="shared" si="13"/>
        <v>395153709.79351801</v>
      </c>
      <c r="P81" s="389"/>
      <c r="Q81" s="441"/>
    </row>
    <row r="82" spans="1:17" s="43" customFormat="1" x14ac:dyDescent="0.35">
      <c r="A82" s="56">
        <v>19</v>
      </c>
      <c r="B82" s="56" t="s">
        <v>38</v>
      </c>
      <c r="C82" s="72">
        <f t="shared" si="2"/>
        <v>108427903.55669591</v>
      </c>
      <c r="D82" s="72">
        <f t="shared" si="3"/>
        <v>431012844.86421961</v>
      </c>
      <c r="E82" s="72">
        <f t="shared" si="4"/>
        <v>165198502.74425933</v>
      </c>
      <c r="F82" s="72">
        <f t="shared" si="5"/>
        <v>190829071.73752972</v>
      </c>
      <c r="G82" s="72">
        <f t="shared" si="6"/>
        <v>6532898.3935747202</v>
      </c>
      <c r="H82" s="72">
        <f t="shared" si="7"/>
        <v>0</v>
      </c>
      <c r="I82" s="72">
        <f t="shared" si="8"/>
        <v>117487890.81118338</v>
      </c>
      <c r="J82" s="72">
        <f t="shared" si="9"/>
        <v>0</v>
      </c>
      <c r="K82" s="72">
        <f t="shared" si="10"/>
        <v>8077168.0241877167</v>
      </c>
      <c r="L82" s="72">
        <f t="shared" si="11"/>
        <v>3322255.4480349077</v>
      </c>
      <c r="M82" s="72">
        <f t="shared" si="12"/>
        <v>0</v>
      </c>
      <c r="N82" s="89">
        <f t="shared" si="13"/>
        <v>1030888535.5796852</v>
      </c>
      <c r="P82" s="389"/>
      <c r="Q82" s="441"/>
    </row>
    <row r="83" spans="1:17" s="43" customFormat="1" x14ac:dyDescent="0.35">
      <c r="A83" s="59"/>
      <c r="B83" s="59" t="s">
        <v>39</v>
      </c>
      <c r="C83" s="60">
        <f t="shared" ref="C83:L83" si="14">SUM(C61:C82)</f>
        <v>3430612087.2640872</v>
      </c>
      <c r="D83" s="60">
        <f t="shared" si="14"/>
        <v>12160298381.72599</v>
      </c>
      <c r="E83" s="60">
        <f t="shared" si="14"/>
        <v>4166292063.8519444</v>
      </c>
      <c r="F83" s="60">
        <f t="shared" si="14"/>
        <v>4511482757.8948746</v>
      </c>
      <c r="G83" s="60">
        <f t="shared" si="14"/>
        <v>511116222.77474475</v>
      </c>
      <c r="H83" s="60">
        <f t="shared" si="14"/>
        <v>127779055.6936862</v>
      </c>
      <c r="I83" s="60">
        <f t="shared" si="14"/>
        <v>383337167.0810585</v>
      </c>
      <c r="J83" s="60">
        <f t="shared" si="14"/>
        <v>28878066.586773083</v>
      </c>
      <c r="K83" s="60">
        <f t="shared" si="14"/>
        <v>255558111.3873724</v>
      </c>
      <c r="L83" s="60">
        <f t="shared" si="14"/>
        <v>3322255.4480349077</v>
      </c>
      <c r="M83" s="60">
        <f t="shared" si="12"/>
        <v>142879295.77052975</v>
      </c>
      <c r="N83" s="89">
        <f>SUM(C83:M83)</f>
        <v>25721555465.479099</v>
      </c>
      <c r="P83" s="389"/>
      <c r="Q83" s="441"/>
    </row>
    <row r="84" spans="1:17" s="43" customFormat="1" x14ac:dyDescent="0.35">
      <c r="A84" s="56"/>
      <c r="B84" s="56" t="s">
        <v>188</v>
      </c>
      <c r="C84" s="91">
        <f>C83/$N$83</f>
        <v>0.13337498550071406</v>
      </c>
      <c r="D84" s="91">
        <f t="shared" ref="D84:M84" si="15">D83/$N$83</f>
        <v>0.47276683550675336</v>
      </c>
      <c r="E84" s="91">
        <f t="shared" si="15"/>
        <v>0.16197667631117899</v>
      </c>
      <c r="F84" s="91">
        <f t="shared" si="15"/>
        <v>0.17539696477336822</v>
      </c>
      <c r="G84" s="91">
        <f t="shared" si="15"/>
        <v>1.9871124180678493E-2</v>
      </c>
      <c r="H84" s="91">
        <f t="shared" si="15"/>
        <v>4.9677810451696234E-3</v>
      </c>
      <c r="I84" s="91">
        <f t="shared" si="15"/>
        <v>1.4903343135508866E-2</v>
      </c>
      <c r="J84" s="91">
        <f t="shared" si="15"/>
        <v>1.122718516208335E-3</v>
      </c>
      <c r="K84" s="91">
        <f t="shared" si="15"/>
        <v>9.9355620903392467E-3</v>
      </c>
      <c r="L84" s="91">
        <f t="shared" si="15"/>
        <v>1.291623071743739E-4</v>
      </c>
      <c r="M84" s="91">
        <f t="shared" si="15"/>
        <v>5.5548466329063207E-3</v>
      </c>
      <c r="N84" s="91">
        <f>SUM(C84:M84)</f>
        <v>0.99999999999999989</v>
      </c>
    </row>
    <row r="85" spans="1:17" s="43" customFormat="1" x14ac:dyDescent="0.35">
      <c r="A85" s="38"/>
      <c r="B85" s="61"/>
      <c r="C85" s="40"/>
      <c r="D85" s="185"/>
      <c r="E85" s="185"/>
      <c r="F85" s="185"/>
      <c r="G85" s="41"/>
      <c r="H85" s="41"/>
      <c r="I85" s="41"/>
      <c r="J85" s="41"/>
      <c r="K85" s="41"/>
      <c r="L85" s="41"/>
      <c r="M85" s="41"/>
      <c r="N85" s="41"/>
    </row>
    <row r="86" spans="1:17" s="43" customFormat="1" x14ac:dyDescent="0.35">
      <c r="A86" s="38"/>
      <c r="B86" s="61"/>
      <c r="C86" s="40"/>
      <c r="D86" s="185"/>
      <c r="E86" s="185"/>
      <c r="F86" s="185"/>
      <c r="G86" s="41"/>
      <c r="H86" s="41"/>
      <c r="I86" s="41"/>
      <c r="J86" s="41"/>
      <c r="K86" s="41"/>
      <c r="L86" s="41"/>
      <c r="M86" s="41"/>
      <c r="N86" s="41"/>
    </row>
    <row r="87" spans="1:17" s="43" customFormat="1" x14ac:dyDescent="0.35">
      <c r="A87" s="38"/>
      <c r="B87" s="61"/>
      <c r="C87" s="40"/>
      <c r="D87" s="185"/>
      <c r="E87" s="185"/>
      <c r="F87" s="185"/>
      <c r="G87" s="41"/>
      <c r="H87" s="41"/>
      <c r="I87" s="41"/>
      <c r="J87" s="41"/>
      <c r="K87" s="41"/>
      <c r="L87" s="41"/>
      <c r="M87" s="41"/>
      <c r="N87" s="41"/>
    </row>
    <row r="88" spans="1:17" s="43" customFormat="1" ht="42" customHeight="1" thickBot="1" x14ac:dyDescent="0.4">
      <c r="A88" s="252" t="s">
        <v>321</v>
      </c>
      <c r="B88" s="51"/>
      <c r="C88" s="51"/>
      <c r="D88" s="51"/>
      <c r="E88" s="51"/>
      <c r="F88" s="51"/>
      <c r="G88" s="51"/>
      <c r="H88" s="51"/>
      <c r="I88" s="51"/>
      <c r="J88" s="51"/>
      <c r="K88" s="51"/>
      <c r="L88" s="51"/>
      <c r="M88" s="51"/>
      <c r="N88" s="51"/>
    </row>
    <row r="89" spans="1:17" s="43" customFormat="1" ht="16" thickTop="1" x14ac:dyDescent="0.35">
      <c r="A89" s="52" t="s">
        <v>8</v>
      </c>
      <c r="B89" s="52" t="s">
        <v>9</v>
      </c>
      <c r="C89" s="87" t="s">
        <v>168</v>
      </c>
      <c r="D89" s="53" t="s">
        <v>169</v>
      </c>
      <c r="E89" s="53" t="s">
        <v>170</v>
      </c>
      <c r="F89" s="53" t="s">
        <v>171</v>
      </c>
      <c r="G89" s="54" t="s">
        <v>172</v>
      </c>
      <c r="H89" s="52" t="s">
        <v>173</v>
      </c>
      <c r="I89" s="52" t="s">
        <v>14</v>
      </c>
      <c r="J89" s="52" t="s">
        <v>174</v>
      </c>
      <c r="K89" s="52" t="s">
        <v>175</v>
      </c>
      <c r="L89" s="55" t="s">
        <v>176</v>
      </c>
      <c r="M89" s="55" t="s">
        <v>199</v>
      </c>
      <c r="N89" s="88" t="s">
        <v>368</v>
      </c>
    </row>
    <row r="90" spans="1:17" s="43" customFormat="1" x14ac:dyDescent="0.35">
      <c r="A90" s="71">
        <v>31</v>
      </c>
      <c r="B90" s="59" t="s">
        <v>17</v>
      </c>
      <c r="C90" s="72">
        <f t="shared" ref="C90:C112" si="16">C61/C35</f>
        <v>615.54302331362987</v>
      </c>
      <c r="D90" s="72">
        <f t="shared" ref="D90:D112" si="17">D61/C35</f>
        <v>1946.334672230947</v>
      </c>
      <c r="E90" s="72">
        <f t="shared" ref="E90:E112" si="18">E61/C35</f>
        <v>567.62238626513192</v>
      </c>
      <c r="F90" s="72">
        <f t="shared" ref="F90:F112" si="19">F61/C35</f>
        <v>667.32246499493874</v>
      </c>
      <c r="G90" s="72">
        <f t="shared" ref="G90:G112" si="20">G61/C35</f>
        <v>179.97885999458043</v>
      </c>
      <c r="H90" s="72">
        <f t="shared" ref="H90:H112" si="21">H61/C35</f>
        <v>27.936841759772204</v>
      </c>
      <c r="I90" s="72">
        <f t="shared" ref="I90:I112" si="22">I61/C35</f>
        <v>0.40310842793103763</v>
      </c>
      <c r="J90" s="72">
        <f t="shared" ref="J90:J112" si="23">J61/C35</f>
        <v>0</v>
      </c>
      <c r="K90" s="72">
        <f t="shared" ref="K90:K112" si="24">K61/C35</f>
        <v>45.853920091897344</v>
      </c>
      <c r="L90" s="72">
        <f t="shared" ref="L90:L112" si="25">L61/C35</f>
        <v>0</v>
      </c>
      <c r="M90" s="72">
        <f t="shared" ref="M90:M112" si="26">M61/C35</f>
        <v>41.342065837601893</v>
      </c>
      <c r="N90" s="60">
        <f>SUM(C90:M90)</f>
        <v>4092.3373429164299</v>
      </c>
    </row>
    <row r="91" spans="1:17" s="43" customFormat="1" x14ac:dyDescent="0.35">
      <c r="A91" s="90">
        <v>32</v>
      </c>
      <c r="B91" s="56" t="s">
        <v>49</v>
      </c>
      <c r="C91" s="72">
        <f t="shared" si="16"/>
        <v>615.54302331362987</v>
      </c>
      <c r="D91" s="72">
        <f t="shared" si="17"/>
        <v>1992.9885750679621</v>
      </c>
      <c r="E91" s="72">
        <f t="shared" si="18"/>
        <v>457.84261003717148</v>
      </c>
      <c r="F91" s="72">
        <f t="shared" si="19"/>
        <v>710.21868005101464</v>
      </c>
      <c r="G91" s="72">
        <f t="shared" si="20"/>
        <v>234.52272825256645</v>
      </c>
      <c r="H91" s="72">
        <f t="shared" si="21"/>
        <v>10.45598678092308</v>
      </c>
      <c r="I91" s="72">
        <f t="shared" si="22"/>
        <v>1.1936703432792573</v>
      </c>
      <c r="J91" s="72">
        <f t="shared" si="23"/>
        <v>0</v>
      </c>
      <c r="K91" s="72">
        <f t="shared" si="24"/>
        <v>45.853920091897344</v>
      </c>
      <c r="L91" s="72">
        <f t="shared" si="25"/>
        <v>0</v>
      </c>
      <c r="M91" s="72">
        <f t="shared" si="26"/>
        <v>41.342065837601893</v>
      </c>
      <c r="N91" s="60">
        <f t="shared" ref="N91:N112" si="27">SUM(C91:M91)</f>
        <v>4109.9612597760461</v>
      </c>
    </row>
    <row r="92" spans="1:17" s="43" customFormat="1" x14ac:dyDescent="0.35">
      <c r="A92" s="90">
        <v>33</v>
      </c>
      <c r="B92" s="56" t="s">
        <v>19</v>
      </c>
      <c r="C92" s="72">
        <f t="shared" si="16"/>
        <v>615.54302331362987</v>
      </c>
      <c r="D92" s="72">
        <f t="shared" si="17"/>
        <v>1857.7580821333972</v>
      </c>
      <c r="E92" s="72">
        <f t="shared" si="18"/>
        <v>476.66028564513516</v>
      </c>
      <c r="F92" s="72">
        <f t="shared" si="19"/>
        <v>608.25311019546609</v>
      </c>
      <c r="G92" s="72">
        <f t="shared" si="20"/>
        <v>164.95563387703262</v>
      </c>
      <c r="H92" s="72">
        <f t="shared" si="21"/>
        <v>58.393216352805773</v>
      </c>
      <c r="I92" s="72">
        <f t="shared" si="22"/>
        <v>10.888013950988691</v>
      </c>
      <c r="J92" s="72">
        <f t="shared" si="23"/>
        <v>0</v>
      </c>
      <c r="K92" s="72">
        <f t="shared" si="24"/>
        <v>45.853920091897344</v>
      </c>
      <c r="L92" s="72">
        <f t="shared" si="25"/>
        <v>0</v>
      </c>
      <c r="M92" s="72">
        <f t="shared" si="26"/>
        <v>41.342065837601893</v>
      </c>
      <c r="N92" s="60">
        <f t="shared" si="27"/>
        <v>3879.647351397954</v>
      </c>
    </row>
    <row r="93" spans="1:17" s="43" customFormat="1" x14ac:dyDescent="0.35">
      <c r="A93" s="90">
        <v>34</v>
      </c>
      <c r="B93" s="56" t="s">
        <v>20</v>
      </c>
      <c r="C93" s="72">
        <f t="shared" si="16"/>
        <v>615.54302331362987</v>
      </c>
      <c r="D93" s="72">
        <f t="shared" si="17"/>
        <v>2127.8188738441568</v>
      </c>
      <c r="E93" s="72">
        <f t="shared" si="18"/>
        <v>689.49445720107747</v>
      </c>
      <c r="F93" s="72">
        <f t="shared" si="19"/>
        <v>664.69167091165457</v>
      </c>
      <c r="G93" s="72">
        <f t="shared" si="20"/>
        <v>67.597028467481749</v>
      </c>
      <c r="H93" s="72">
        <f t="shared" si="21"/>
        <v>141.35093031127101</v>
      </c>
      <c r="I93" s="72">
        <f t="shared" si="22"/>
        <v>34.605652601108453</v>
      </c>
      <c r="J93" s="72">
        <f t="shared" si="23"/>
        <v>0</v>
      </c>
      <c r="K93" s="72">
        <f t="shared" si="24"/>
        <v>45.853920091897344</v>
      </c>
      <c r="L93" s="72">
        <f t="shared" si="25"/>
        <v>0</v>
      </c>
      <c r="M93" s="72">
        <f t="shared" si="26"/>
        <v>41.342065837601893</v>
      </c>
      <c r="N93" s="60">
        <f t="shared" si="27"/>
        <v>4428.2976225798802</v>
      </c>
    </row>
    <row r="94" spans="1:17" s="43" customFormat="1" x14ac:dyDescent="0.35">
      <c r="A94" s="90">
        <v>35</v>
      </c>
      <c r="B94" s="56" t="s">
        <v>21</v>
      </c>
      <c r="C94" s="72">
        <f t="shared" si="16"/>
        <v>615.54302331362987</v>
      </c>
      <c r="D94" s="72">
        <f t="shared" si="17"/>
        <v>2007.2550281511667</v>
      </c>
      <c r="E94" s="72">
        <f t="shared" si="18"/>
        <v>551.11849640044727</v>
      </c>
      <c r="F94" s="72">
        <f t="shared" si="19"/>
        <v>670.94538538842505</v>
      </c>
      <c r="G94" s="72">
        <f t="shared" si="20"/>
        <v>70.520400745307569</v>
      </c>
      <c r="H94" s="72">
        <f t="shared" si="21"/>
        <v>0</v>
      </c>
      <c r="I94" s="72">
        <f t="shared" si="22"/>
        <v>10.29781734267601</v>
      </c>
      <c r="J94" s="72">
        <f t="shared" si="23"/>
        <v>0</v>
      </c>
      <c r="K94" s="72">
        <f t="shared" si="24"/>
        <v>45.853920091897344</v>
      </c>
      <c r="L94" s="72">
        <f t="shared" si="25"/>
        <v>0</v>
      </c>
      <c r="M94" s="72">
        <f t="shared" si="26"/>
        <v>41.342065837601893</v>
      </c>
      <c r="N94" s="60">
        <f t="shared" si="27"/>
        <v>4012.8761372711515</v>
      </c>
    </row>
    <row r="95" spans="1:17" s="43" customFormat="1" x14ac:dyDescent="0.35">
      <c r="A95" s="56">
        <v>2</v>
      </c>
      <c r="B95" s="56" t="s">
        <v>22</v>
      </c>
      <c r="C95" s="72">
        <f t="shared" si="16"/>
        <v>615.54302331362987</v>
      </c>
      <c r="D95" s="72">
        <f t="shared" si="17"/>
        <v>2288.5816166284185</v>
      </c>
      <c r="E95" s="72">
        <f t="shared" si="18"/>
        <v>816.21709230350211</v>
      </c>
      <c r="F95" s="72">
        <f t="shared" si="19"/>
        <v>829.52134712270129</v>
      </c>
      <c r="G95" s="72">
        <f t="shared" si="20"/>
        <v>92.811914430206627</v>
      </c>
      <c r="H95" s="72">
        <f t="shared" si="21"/>
        <v>28.65506712800882</v>
      </c>
      <c r="I95" s="72">
        <f t="shared" si="22"/>
        <v>27.561640062566003</v>
      </c>
      <c r="J95" s="72">
        <f t="shared" si="23"/>
        <v>38.120520446079595</v>
      </c>
      <c r="K95" s="72">
        <f t="shared" si="24"/>
        <v>45.853920091897344</v>
      </c>
      <c r="L95" s="72">
        <f t="shared" si="25"/>
        <v>0</v>
      </c>
      <c r="M95" s="72">
        <f t="shared" si="26"/>
        <v>41.342065837601893</v>
      </c>
      <c r="N95" s="60">
        <f t="shared" si="27"/>
        <v>4824.2082073646125</v>
      </c>
    </row>
    <row r="96" spans="1:17" s="43" customFormat="1" x14ac:dyDescent="0.35">
      <c r="A96" s="56">
        <v>4</v>
      </c>
      <c r="B96" s="56" t="s">
        <v>23</v>
      </c>
      <c r="C96" s="72">
        <f t="shared" si="16"/>
        <v>615.54302331362987</v>
      </c>
      <c r="D96" s="72">
        <f t="shared" si="17"/>
        <v>2301.9776452489141</v>
      </c>
      <c r="E96" s="72">
        <f t="shared" si="18"/>
        <v>884.19286928906297</v>
      </c>
      <c r="F96" s="72">
        <f t="shared" si="19"/>
        <v>900.25571788807781</v>
      </c>
      <c r="G96" s="72">
        <f t="shared" si="20"/>
        <v>48.638553134548545</v>
      </c>
      <c r="H96" s="72">
        <f t="shared" si="21"/>
        <v>0</v>
      </c>
      <c r="I96" s="72">
        <f t="shared" si="22"/>
        <v>46.831831715793896</v>
      </c>
      <c r="J96" s="72">
        <f t="shared" si="23"/>
        <v>0</v>
      </c>
      <c r="K96" s="72">
        <f t="shared" si="24"/>
        <v>45.853920091897344</v>
      </c>
      <c r="L96" s="72">
        <f t="shared" si="25"/>
        <v>0</v>
      </c>
      <c r="M96" s="72">
        <f t="shared" si="26"/>
        <v>0</v>
      </c>
      <c r="N96" s="60">
        <f t="shared" si="27"/>
        <v>4843.2935606819246</v>
      </c>
    </row>
    <row r="97" spans="1:14" s="43" customFormat="1" x14ac:dyDescent="0.35">
      <c r="A97" s="56">
        <v>5</v>
      </c>
      <c r="B97" s="56" t="s">
        <v>24</v>
      </c>
      <c r="C97" s="72">
        <f t="shared" si="16"/>
        <v>615.54302331362987</v>
      </c>
      <c r="D97" s="72">
        <f t="shared" si="17"/>
        <v>2290.5763377607404</v>
      </c>
      <c r="E97" s="72">
        <f t="shared" si="18"/>
        <v>839.19093139721463</v>
      </c>
      <c r="F97" s="72">
        <f t="shared" si="19"/>
        <v>819.37948768007243</v>
      </c>
      <c r="G97" s="72">
        <f t="shared" si="20"/>
        <v>52.799595904791502</v>
      </c>
      <c r="H97" s="72">
        <f t="shared" si="21"/>
        <v>0</v>
      </c>
      <c r="I97" s="72">
        <f t="shared" si="22"/>
        <v>38.87103384768902</v>
      </c>
      <c r="J97" s="72">
        <f t="shared" si="23"/>
        <v>0</v>
      </c>
      <c r="K97" s="72">
        <f t="shared" si="24"/>
        <v>45.853920091897344</v>
      </c>
      <c r="L97" s="72">
        <f t="shared" si="25"/>
        <v>0</v>
      </c>
      <c r="M97" s="72">
        <f t="shared" si="26"/>
        <v>0</v>
      </c>
      <c r="N97" s="60">
        <f t="shared" si="27"/>
        <v>4702.2143299960353</v>
      </c>
    </row>
    <row r="98" spans="1:14" s="43" customFormat="1" x14ac:dyDescent="0.35">
      <c r="A98" s="56">
        <v>6</v>
      </c>
      <c r="B98" s="56" t="s">
        <v>25</v>
      </c>
      <c r="C98" s="72">
        <f t="shared" si="16"/>
        <v>615.54302331362987</v>
      </c>
      <c r="D98" s="72">
        <f t="shared" si="17"/>
        <v>2229.5531026686226</v>
      </c>
      <c r="E98" s="72">
        <f t="shared" si="18"/>
        <v>744.61431912086312</v>
      </c>
      <c r="F98" s="72">
        <f t="shared" si="19"/>
        <v>778.07992954262261</v>
      </c>
      <c r="G98" s="72">
        <f t="shared" si="20"/>
        <v>62.17344238423329</v>
      </c>
      <c r="H98" s="72">
        <f t="shared" si="21"/>
        <v>0</v>
      </c>
      <c r="I98" s="72">
        <f t="shared" si="22"/>
        <v>31.138460168250408</v>
      </c>
      <c r="J98" s="72">
        <f t="shared" si="23"/>
        <v>0</v>
      </c>
      <c r="K98" s="72">
        <f t="shared" si="24"/>
        <v>45.853920091897344</v>
      </c>
      <c r="L98" s="72">
        <f t="shared" si="25"/>
        <v>0</v>
      </c>
      <c r="M98" s="72">
        <f t="shared" si="26"/>
        <v>41.342065837601893</v>
      </c>
      <c r="N98" s="60">
        <f t="shared" si="27"/>
        <v>4548.2982631277209</v>
      </c>
    </row>
    <row r="99" spans="1:14" s="43" customFormat="1" x14ac:dyDescent="0.35">
      <c r="A99" s="56">
        <v>7</v>
      </c>
      <c r="B99" s="56" t="s">
        <v>26</v>
      </c>
      <c r="C99" s="72">
        <f t="shared" si="16"/>
        <v>615.54302331362987</v>
      </c>
      <c r="D99" s="72">
        <f t="shared" si="17"/>
        <v>2308.2410475287161</v>
      </c>
      <c r="E99" s="72">
        <f t="shared" si="18"/>
        <v>846.72183269609707</v>
      </c>
      <c r="F99" s="72">
        <f t="shared" si="19"/>
        <v>862.00855109812562</v>
      </c>
      <c r="G99" s="72">
        <f t="shared" si="20"/>
        <v>64.672291289009308</v>
      </c>
      <c r="H99" s="72">
        <f t="shared" si="21"/>
        <v>0</v>
      </c>
      <c r="I99" s="72">
        <f t="shared" si="22"/>
        <v>35.427997755749885</v>
      </c>
      <c r="J99" s="72">
        <f t="shared" si="23"/>
        <v>0</v>
      </c>
      <c r="K99" s="72">
        <f t="shared" si="24"/>
        <v>45.853920091897351</v>
      </c>
      <c r="L99" s="72">
        <f t="shared" si="25"/>
        <v>0</v>
      </c>
      <c r="M99" s="72">
        <f t="shared" si="26"/>
        <v>0</v>
      </c>
      <c r="N99" s="60">
        <f t="shared" si="27"/>
        <v>4778.4686637732248</v>
      </c>
    </row>
    <row r="100" spans="1:14" s="43" customFormat="1" x14ac:dyDescent="0.35">
      <c r="A100" s="56">
        <v>8</v>
      </c>
      <c r="B100" s="56" t="s">
        <v>27</v>
      </c>
      <c r="C100" s="72">
        <f t="shared" si="16"/>
        <v>615.54302331362987</v>
      </c>
      <c r="D100" s="72">
        <f t="shared" si="17"/>
        <v>2485.3312134400126</v>
      </c>
      <c r="E100" s="72">
        <f t="shared" si="18"/>
        <v>1060.3869889295961</v>
      </c>
      <c r="F100" s="72">
        <f t="shared" si="19"/>
        <v>937.00820153502423</v>
      </c>
      <c r="G100" s="72">
        <f t="shared" si="20"/>
        <v>67.156819909585863</v>
      </c>
      <c r="H100" s="72">
        <f t="shared" si="21"/>
        <v>3.8005313381214907</v>
      </c>
      <c r="I100" s="72">
        <f t="shared" si="22"/>
        <v>36.425445022449296</v>
      </c>
      <c r="J100" s="72">
        <f t="shared" si="23"/>
        <v>0</v>
      </c>
      <c r="K100" s="72">
        <f t="shared" si="24"/>
        <v>45.853920091897344</v>
      </c>
      <c r="L100" s="72">
        <f t="shared" si="25"/>
        <v>0</v>
      </c>
      <c r="M100" s="72">
        <f t="shared" si="26"/>
        <v>0</v>
      </c>
      <c r="N100" s="60">
        <f t="shared" si="27"/>
        <v>5251.5061435803163</v>
      </c>
    </row>
    <row r="101" spans="1:14" s="43" customFormat="1" x14ac:dyDescent="0.35">
      <c r="A101" s="56">
        <v>9</v>
      </c>
      <c r="B101" s="56" t="s">
        <v>28</v>
      </c>
      <c r="C101" s="72">
        <f t="shared" si="16"/>
        <v>615.54302331362987</v>
      </c>
      <c r="D101" s="72">
        <f t="shared" si="17"/>
        <v>2218.9473010415959</v>
      </c>
      <c r="E101" s="72">
        <f t="shared" si="18"/>
        <v>889.3219279997536</v>
      </c>
      <c r="F101" s="72">
        <f t="shared" si="19"/>
        <v>791.96777524496451</v>
      </c>
      <c r="G101" s="72">
        <f t="shared" si="20"/>
        <v>77.171737260303829</v>
      </c>
      <c r="H101" s="72">
        <f t="shared" si="21"/>
        <v>0</v>
      </c>
      <c r="I101" s="72">
        <f t="shared" si="22"/>
        <v>53.943051513443244</v>
      </c>
      <c r="J101" s="72">
        <f t="shared" si="23"/>
        <v>0</v>
      </c>
      <c r="K101" s="72">
        <f t="shared" si="24"/>
        <v>45.853920091897344</v>
      </c>
      <c r="L101" s="72">
        <f t="shared" si="25"/>
        <v>0</v>
      </c>
      <c r="M101" s="72">
        <f t="shared" si="26"/>
        <v>0</v>
      </c>
      <c r="N101" s="60">
        <f t="shared" si="27"/>
        <v>4692.7487364655881</v>
      </c>
    </row>
    <row r="102" spans="1:14" s="43" customFormat="1" x14ac:dyDescent="0.35">
      <c r="A102" s="56">
        <v>10</v>
      </c>
      <c r="B102" s="56" t="s">
        <v>29</v>
      </c>
      <c r="C102" s="72">
        <f t="shared" si="16"/>
        <v>615.54302331362987</v>
      </c>
      <c r="D102" s="72">
        <f t="shared" si="17"/>
        <v>2487.9797665257051</v>
      </c>
      <c r="E102" s="72">
        <f t="shared" si="18"/>
        <v>1104.4410955384863</v>
      </c>
      <c r="F102" s="72">
        <f t="shared" si="19"/>
        <v>968.77704790473069</v>
      </c>
      <c r="G102" s="72">
        <f t="shared" si="20"/>
        <v>44.63912705650997</v>
      </c>
      <c r="H102" s="72">
        <f t="shared" si="21"/>
        <v>0</v>
      </c>
      <c r="I102" s="72">
        <f t="shared" si="22"/>
        <v>123.44258565885676</v>
      </c>
      <c r="J102" s="72">
        <f t="shared" si="23"/>
        <v>36.90211313885456</v>
      </c>
      <c r="K102" s="72">
        <f t="shared" si="24"/>
        <v>45.853920091897344</v>
      </c>
      <c r="L102" s="72">
        <f t="shared" si="25"/>
        <v>0</v>
      </c>
      <c r="M102" s="72">
        <f t="shared" si="26"/>
        <v>0</v>
      </c>
      <c r="N102" s="60">
        <f t="shared" si="27"/>
        <v>5427.5786792286708</v>
      </c>
    </row>
    <row r="103" spans="1:14" s="43" customFormat="1" x14ac:dyDescent="0.35">
      <c r="A103" s="56">
        <v>11</v>
      </c>
      <c r="B103" s="56" t="s">
        <v>30</v>
      </c>
      <c r="C103" s="72">
        <f t="shared" si="16"/>
        <v>615.54302331362987</v>
      </c>
      <c r="D103" s="72">
        <f t="shared" si="17"/>
        <v>2401.8039534480999</v>
      </c>
      <c r="E103" s="72">
        <f t="shared" si="18"/>
        <v>909.63481375255969</v>
      </c>
      <c r="F103" s="72">
        <f t="shared" si="19"/>
        <v>958.74320357749389</v>
      </c>
      <c r="G103" s="72">
        <f t="shared" si="20"/>
        <v>41.27650923535662</v>
      </c>
      <c r="H103" s="72">
        <f t="shared" si="21"/>
        <v>0</v>
      </c>
      <c r="I103" s="72">
        <f t="shared" si="22"/>
        <v>88.587276961073499</v>
      </c>
      <c r="J103" s="72">
        <f t="shared" si="23"/>
        <v>0</v>
      </c>
      <c r="K103" s="72">
        <f t="shared" si="24"/>
        <v>45.853920091897344</v>
      </c>
      <c r="L103" s="72">
        <f t="shared" si="25"/>
        <v>0</v>
      </c>
      <c r="M103" s="72">
        <f t="shared" si="26"/>
        <v>41.342065837601893</v>
      </c>
      <c r="N103" s="60">
        <f t="shared" si="27"/>
        <v>5102.7847662177128</v>
      </c>
    </row>
    <row r="104" spans="1:14" s="43" customFormat="1" x14ac:dyDescent="0.35">
      <c r="A104" s="56">
        <v>12</v>
      </c>
      <c r="B104" s="56" t="s">
        <v>31</v>
      </c>
      <c r="C104" s="72">
        <f t="shared" si="16"/>
        <v>615.54302331362987</v>
      </c>
      <c r="D104" s="72">
        <f t="shared" si="17"/>
        <v>2553.7648818131206</v>
      </c>
      <c r="E104" s="72">
        <f t="shared" si="18"/>
        <v>980.32396852947261</v>
      </c>
      <c r="F104" s="72">
        <f t="shared" si="19"/>
        <v>1023.1789772060289</v>
      </c>
      <c r="G104" s="72">
        <f t="shared" si="20"/>
        <v>52.745575257896462</v>
      </c>
      <c r="H104" s="72">
        <f t="shared" si="21"/>
        <v>0</v>
      </c>
      <c r="I104" s="72">
        <f t="shared" si="22"/>
        <v>146.75891744948348</v>
      </c>
      <c r="J104" s="72">
        <f t="shared" si="23"/>
        <v>0</v>
      </c>
      <c r="K104" s="72">
        <f t="shared" si="24"/>
        <v>45.853920091897344</v>
      </c>
      <c r="L104" s="72">
        <f t="shared" si="25"/>
        <v>0</v>
      </c>
      <c r="M104" s="72">
        <f t="shared" si="26"/>
        <v>0</v>
      </c>
      <c r="N104" s="60">
        <f t="shared" si="27"/>
        <v>5418.1692636615298</v>
      </c>
    </row>
    <row r="105" spans="1:14" s="43" customFormat="1" x14ac:dyDescent="0.35">
      <c r="A105" s="56">
        <v>13</v>
      </c>
      <c r="B105" s="56" t="s">
        <v>32</v>
      </c>
      <c r="C105" s="72">
        <f t="shared" si="16"/>
        <v>615.54302331362987</v>
      </c>
      <c r="D105" s="72">
        <f t="shared" si="17"/>
        <v>2118.5077234313694</v>
      </c>
      <c r="E105" s="72">
        <f t="shared" si="18"/>
        <v>758.6971410193313</v>
      </c>
      <c r="F105" s="72">
        <f t="shared" si="19"/>
        <v>823.99933673477176</v>
      </c>
      <c r="G105" s="72">
        <f t="shared" si="20"/>
        <v>44.01629092038862</v>
      </c>
      <c r="H105" s="72">
        <f t="shared" si="21"/>
        <v>0</v>
      </c>
      <c r="I105" s="72">
        <f t="shared" si="22"/>
        <v>74.410736549413826</v>
      </c>
      <c r="J105" s="72">
        <f t="shared" si="23"/>
        <v>0</v>
      </c>
      <c r="K105" s="72">
        <f t="shared" si="24"/>
        <v>45.853920091897344</v>
      </c>
      <c r="L105" s="72">
        <f t="shared" si="25"/>
        <v>0</v>
      </c>
      <c r="M105" s="72">
        <f t="shared" si="26"/>
        <v>0</v>
      </c>
      <c r="N105" s="60">
        <f t="shared" si="27"/>
        <v>4481.0281720608018</v>
      </c>
    </row>
    <row r="106" spans="1:14" s="43" customFormat="1" x14ac:dyDescent="0.35">
      <c r="A106" s="56">
        <v>14</v>
      </c>
      <c r="B106" s="56" t="s">
        <v>33</v>
      </c>
      <c r="C106" s="72">
        <f t="shared" si="16"/>
        <v>615.54302331362987</v>
      </c>
      <c r="D106" s="72">
        <f t="shared" si="17"/>
        <v>2341.4478992701538</v>
      </c>
      <c r="E106" s="72">
        <f t="shared" si="18"/>
        <v>946.59463873825416</v>
      </c>
      <c r="F106" s="72">
        <f t="shared" si="19"/>
        <v>868.6605252927028</v>
      </c>
      <c r="G106" s="72">
        <f t="shared" si="20"/>
        <v>34.460330698791935</v>
      </c>
      <c r="H106" s="72">
        <f t="shared" si="21"/>
        <v>0</v>
      </c>
      <c r="I106" s="72">
        <f t="shared" si="22"/>
        <v>91.791618317466259</v>
      </c>
      <c r="J106" s="72">
        <f t="shared" si="23"/>
        <v>0</v>
      </c>
      <c r="K106" s="72">
        <f t="shared" si="24"/>
        <v>45.853920091897351</v>
      </c>
      <c r="L106" s="72">
        <f t="shared" si="25"/>
        <v>0</v>
      </c>
      <c r="M106" s="72">
        <f t="shared" si="26"/>
        <v>0</v>
      </c>
      <c r="N106" s="60">
        <f t="shared" si="27"/>
        <v>4944.3519557228965</v>
      </c>
    </row>
    <row r="107" spans="1:14" s="43" customFormat="1" x14ac:dyDescent="0.35">
      <c r="A107" s="56">
        <v>15</v>
      </c>
      <c r="B107" s="56" t="s">
        <v>34</v>
      </c>
      <c r="C107" s="72">
        <f t="shared" si="16"/>
        <v>615.54302331362987</v>
      </c>
      <c r="D107" s="72">
        <f t="shared" si="17"/>
        <v>2075.8373597000787</v>
      </c>
      <c r="E107" s="72">
        <f t="shared" si="18"/>
        <v>716.23823121184569</v>
      </c>
      <c r="F107" s="72">
        <f t="shared" si="19"/>
        <v>684.09460539619499</v>
      </c>
      <c r="G107" s="72">
        <f t="shared" si="20"/>
        <v>89.184299399675382</v>
      </c>
      <c r="H107" s="72">
        <f t="shared" si="21"/>
        <v>255.22339730966377</v>
      </c>
      <c r="I107" s="72">
        <f t="shared" si="22"/>
        <v>52.833756877893926</v>
      </c>
      <c r="J107" s="72">
        <f t="shared" si="23"/>
        <v>25.806404524166524</v>
      </c>
      <c r="K107" s="72">
        <f t="shared" si="24"/>
        <v>45.853920091897344</v>
      </c>
      <c r="L107" s="72">
        <f t="shared" si="25"/>
        <v>0</v>
      </c>
      <c r="M107" s="72">
        <f t="shared" si="26"/>
        <v>0</v>
      </c>
      <c r="N107" s="60">
        <f t="shared" si="27"/>
        <v>4560.614997825046</v>
      </c>
    </row>
    <row r="108" spans="1:14" s="43" customFormat="1" x14ac:dyDescent="0.35">
      <c r="A108" s="56">
        <v>16</v>
      </c>
      <c r="B108" s="56" t="s">
        <v>35</v>
      </c>
      <c r="C108" s="72">
        <f t="shared" si="16"/>
        <v>615.54302331362987</v>
      </c>
      <c r="D108" s="72">
        <f t="shared" si="17"/>
        <v>2369.953483294717</v>
      </c>
      <c r="E108" s="72">
        <f t="shared" si="18"/>
        <v>898.16028456771551</v>
      </c>
      <c r="F108" s="72">
        <f t="shared" si="19"/>
        <v>958.32642559201622</v>
      </c>
      <c r="G108" s="72">
        <f t="shared" si="20"/>
        <v>39.505410911089221</v>
      </c>
      <c r="H108" s="72">
        <f t="shared" si="21"/>
        <v>45.181903777973545</v>
      </c>
      <c r="I108" s="72">
        <f t="shared" si="22"/>
        <v>93.945301266620731</v>
      </c>
      <c r="J108" s="72">
        <f t="shared" si="23"/>
        <v>0</v>
      </c>
      <c r="K108" s="72">
        <f t="shared" si="24"/>
        <v>45.853920091897344</v>
      </c>
      <c r="L108" s="72">
        <f t="shared" si="25"/>
        <v>0</v>
      </c>
      <c r="M108" s="72">
        <f t="shared" si="26"/>
        <v>0</v>
      </c>
      <c r="N108" s="60">
        <f t="shared" si="27"/>
        <v>5066.4697528156585</v>
      </c>
    </row>
    <row r="109" spans="1:14" s="43" customFormat="1" x14ac:dyDescent="0.35">
      <c r="A109" s="56">
        <v>17</v>
      </c>
      <c r="B109" s="56" t="s">
        <v>36</v>
      </c>
      <c r="C109" s="72">
        <f t="shared" si="16"/>
        <v>615.54302331362987</v>
      </c>
      <c r="D109" s="72">
        <f t="shared" si="17"/>
        <v>2145.3530840132439</v>
      </c>
      <c r="E109" s="72">
        <f t="shared" si="18"/>
        <v>733.21110404554133</v>
      </c>
      <c r="F109" s="72">
        <f t="shared" si="19"/>
        <v>967.72039016041731</v>
      </c>
      <c r="G109" s="72">
        <f t="shared" si="20"/>
        <v>39.340450866597692</v>
      </c>
      <c r="H109" s="72">
        <f t="shared" si="21"/>
        <v>0</v>
      </c>
      <c r="I109" s="72">
        <f t="shared" si="22"/>
        <v>111.63391188112131</v>
      </c>
      <c r="J109" s="72">
        <f t="shared" si="23"/>
        <v>1.8930396731298886</v>
      </c>
      <c r="K109" s="72">
        <f t="shared" si="24"/>
        <v>45.853920091897344</v>
      </c>
      <c r="L109" s="72">
        <f t="shared" si="25"/>
        <v>0</v>
      </c>
      <c r="M109" s="72">
        <f t="shared" si="26"/>
        <v>41.342065837601893</v>
      </c>
      <c r="N109" s="60">
        <f t="shared" si="27"/>
        <v>4701.8909898831807</v>
      </c>
    </row>
    <row r="110" spans="1:14" s="43" customFormat="1" x14ac:dyDescent="0.35">
      <c r="A110" s="56">
        <v>18</v>
      </c>
      <c r="B110" s="56" t="s">
        <v>37</v>
      </c>
      <c r="C110" s="72">
        <f t="shared" si="16"/>
        <v>615.54302331362987</v>
      </c>
      <c r="D110" s="72">
        <f t="shared" si="17"/>
        <v>2478.6817133451891</v>
      </c>
      <c r="E110" s="72">
        <f t="shared" si="18"/>
        <v>1068.3072107958021</v>
      </c>
      <c r="F110" s="72">
        <f t="shared" si="19"/>
        <v>1011.0784917385014</v>
      </c>
      <c r="G110" s="72">
        <f t="shared" si="20"/>
        <v>47.505652035437102</v>
      </c>
      <c r="H110" s="72">
        <f t="shared" si="21"/>
        <v>0</v>
      </c>
      <c r="I110" s="72">
        <f t="shared" si="22"/>
        <v>364.88834614944165</v>
      </c>
      <c r="J110" s="72">
        <f t="shared" si="23"/>
        <v>0</v>
      </c>
      <c r="K110" s="72">
        <f t="shared" si="24"/>
        <v>45.853920091897344</v>
      </c>
      <c r="L110" s="72">
        <f t="shared" si="25"/>
        <v>0</v>
      </c>
      <c r="M110" s="72">
        <f t="shared" si="26"/>
        <v>0</v>
      </c>
      <c r="N110" s="60">
        <f t="shared" si="27"/>
        <v>5631.8583574698996</v>
      </c>
    </row>
    <row r="111" spans="1:14" s="43" customFormat="1" x14ac:dyDescent="0.35">
      <c r="A111" s="56">
        <v>19</v>
      </c>
      <c r="B111" s="56" t="s">
        <v>38</v>
      </c>
      <c r="C111" s="72">
        <f t="shared" si="16"/>
        <v>615.54302331362987</v>
      </c>
      <c r="D111" s="72">
        <f t="shared" si="17"/>
        <v>2446.8512339722943</v>
      </c>
      <c r="E111" s="72">
        <f t="shared" si="18"/>
        <v>937.82857078773395</v>
      </c>
      <c r="F111" s="72">
        <f t="shared" si="19"/>
        <v>1083.3327944225362</v>
      </c>
      <c r="G111" s="72">
        <f t="shared" si="20"/>
        <v>37.087132521003234</v>
      </c>
      <c r="H111" s="72">
        <f t="shared" si="21"/>
        <v>0</v>
      </c>
      <c r="I111" s="72">
        <f t="shared" si="22"/>
        <v>666.97638836890928</v>
      </c>
      <c r="J111" s="72">
        <f t="shared" si="23"/>
        <v>0</v>
      </c>
      <c r="K111" s="72">
        <f t="shared" si="24"/>
        <v>45.853920091897344</v>
      </c>
      <c r="L111" s="72">
        <f t="shared" si="25"/>
        <v>18.860377224155027</v>
      </c>
      <c r="M111" s="72">
        <f t="shared" si="26"/>
        <v>0</v>
      </c>
      <c r="N111" s="60">
        <f t="shared" si="27"/>
        <v>5852.3334407021594</v>
      </c>
    </row>
    <row r="112" spans="1:14" s="142" customFormat="1" x14ac:dyDescent="0.35">
      <c r="A112" s="58"/>
      <c r="B112" s="59" t="s">
        <v>39</v>
      </c>
      <c r="C112" s="60">
        <f t="shared" si="16"/>
        <v>615.54302331362999</v>
      </c>
      <c r="D112" s="60">
        <f t="shared" si="17"/>
        <v>2181.8808538778553</v>
      </c>
      <c r="E112" s="60">
        <f t="shared" si="18"/>
        <v>747.5435717467617</v>
      </c>
      <c r="F112" s="60">
        <f t="shared" si="19"/>
        <v>809.47996036374695</v>
      </c>
      <c r="G112" s="60">
        <f t="shared" si="20"/>
        <v>91.707840183794687</v>
      </c>
      <c r="H112" s="60">
        <f t="shared" si="21"/>
        <v>22.926960045948675</v>
      </c>
      <c r="I112" s="60">
        <f t="shared" si="22"/>
        <v>68.780880137845998</v>
      </c>
      <c r="J112" s="60">
        <f t="shared" si="23"/>
        <v>5.1814929703844008</v>
      </c>
      <c r="K112" s="60">
        <f t="shared" si="24"/>
        <v>45.853920091897351</v>
      </c>
      <c r="L112" s="60">
        <f t="shared" si="25"/>
        <v>0.59610096119449796</v>
      </c>
      <c r="M112" s="60">
        <f t="shared" si="26"/>
        <v>25.636344608595206</v>
      </c>
      <c r="N112" s="60">
        <f t="shared" si="27"/>
        <v>4615.1309483016539</v>
      </c>
    </row>
    <row r="113" spans="1:14" s="43" customFormat="1" x14ac:dyDescent="0.35">
      <c r="A113" s="56"/>
      <c r="B113" s="56" t="s">
        <v>188</v>
      </c>
      <c r="C113" s="92">
        <f>C112/$N$112</f>
        <v>0.13337498550071408</v>
      </c>
      <c r="D113" s="92">
        <f t="shared" ref="D113:N113" si="28">D112/$N$112</f>
        <v>0.47276683550675352</v>
      </c>
      <c r="E113" s="92">
        <f t="shared" si="28"/>
        <v>0.16197667631117901</v>
      </c>
      <c r="F113" s="92">
        <f t="shared" si="28"/>
        <v>0.17539696477336827</v>
      </c>
      <c r="G113" s="92">
        <f t="shared" si="28"/>
        <v>1.98711241806785E-2</v>
      </c>
      <c r="H113" s="92">
        <f t="shared" si="28"/>
        <v>4.967781045169626E-3</v>
      </c>
      <c r="I113" s="92">
        <f t="shared" si="28"/>
        <v>1.4903343135508871E-2</v>
      </c>
      <c r="J113" s="92">
        <f t="shared" si="28"/>
        <v>1.1227185162083354E-3</v>
      </c>
      <c r="K113" s="92">
        <f t="shared" si="28"/>
        <v>9.9355620903392519E-3</v>
      </c>
      <c r="L113" s="92">
        <f t="shared" si="28"/>
        <v>1.2916230717437396E-4</v>
      </c>
      <c r="M113" s="92">
        <f t="shared" si="28"/>
        <v>5.5548466329063224E-3</v>
      </c>
      <c r="N113" s="92">
        <f t="shared" si="28"/>
        <v>1</v>
      </c>
    </row>
    <row r="114" spans="1:14" s="43" customFormat="1" x14ac:dyDescent="0.35">
      <c r="A114" s="38"/>
      <c r="B114" s="38"/>
      <c r="C114" s="38"/>
      <c r="D114" s="38"/>
      <c r="E114" s="38"/>
      <c r="F114" s="38"/>
      <c r="G114" s="38"/>
      <c r="H114" s="38"/>
      <c r="I114" s="38"/>
      <c r="J114" s="38"/>
      <c r="K114" s="38"/>
      <c r="L114" s="38"/>
      <c r="M114" s="38"/>
      <c r="N114" s="38"/>
    </row>
    <row r="115" spans="1:14" s="43" customFormat="1" x14ac:dyDescent="0.35">
      <c r="A115" s="38"/>
      <c r="B115" s="38"/>
      <c r="C115" s="38"/>
      <c r="D115" s="38"/>
      <c r="E115" s="38"/>
      <c r="F115" s="38"/>
      <c r="G115" s="38"/>
      <c r="H115" s="38"/>
      <c r="I115" s="38"/>
      <c r="J115" s="38"/>
      <c r="K115" s="38"/>
      <c r="L115" s="38"/>
      <c r="M115" s="38"/>
      <c r="N115" s="38"/>
    </row>
    <row r="116" spans="1:14" x14ac:dyDescent="0.35">
      <c r="C116" s="40"/>
      <c r="D116" s="40"/>
      <c r="E116" s="40"/>
      <c r="F116" s="40"/>
      <c r="G116" s="40"/>
      <c r="H116" s="40"/>
      <c r="I116" s="40"/>
      <c r="J116" s="40"/>
      <c r="K116" s="40"/>
      <c r="L116" s="40"/>
      <c r="M116" s="40"/>
      <c r="N116" s="40"/>
    </row>
    <row r="117" spans="1:14" x14ac:dyDescent="0.35">
      <c r="C117" s="40"/>
      <c r="D117" s="40"/>
      <c r="E117" s="40"/>
      <c r="F117" s="40"/>
      <c r="G117" s="40"/>
      <c r="H117" s="40"/>
      <c r="I117" s="40"/>
      <c r="J117" s="40"/>
      <c r="K117" s="40"/>
      <c r="L117" s="40"/>
      <c r="M117" s="40"/>
      <c r="N117" s="40"/>
    </row>
    <row r="118" spans="1:14" x14ac:dyDescent="0.35">
      <c r="C118" s="40"/>
      <c r="D118" s="40"/>
      <c r="E118" s="40"/>
      <c r="F118" s="40"/>
      <c r="G118" s="40"/>
      <c r="H118" s="40"/>
      <c r="I118" s="40"/>
      <c r="J118" s="40"/>
      <c r="K118" s="40"/>
      <c r="L118" s="40"/>
      <c r="M118" s="40"/>
      <c r="N118" s="40"/>
    </row>
    <row r="119" spans="1:14" x14ac:dyDescent="0.35">
      <c r="C119" s="40"/>
      <c r="D119" s="40"/>
      <c r="E119" s="40"/>
      <c r="F119" s="40"/>
      <c r="G119" s="40"/>
      <c r="H119" s="40"/>
      <c r="I119" s="40"/>
      <c r="J119" s="40"/>
      <c r="K119" s="40"/>
      <c r="L119" s="40"/>
      <c r="M119" s="40"/>
      <c r="N119" s="40"/>
    </row>
    <row r="120" spans="1:14" x14ac:dyDescent="0.35">
      <c r="C120" s="40"/>
      <c r="D120" s="40"/>
      <c r="E120" s="40"/>
      <c r="F120" s="40"/>
      <c r="G120" s="40"/>
      <c r="H120" s="40"/>
      <c r="I120" s="40"/>
      <c r="J120" s="40"/>
      <c r="K120" s="40"/>
      <c r="L120" s="40"/>
      <c r="M120" s="40"/>
      <c r="N120" s="40"/>
    </row>
    <row r="121" spans="1:14" x14ac:dyDescent="0.35">
      <c r="C121" s="40"/>
      <c r="D121" s="40"/>
      <c r="E121" s="40"/>
      <c r="F121" s="40"/>
      <c r="G121" s="40"/>
      <c r="H121" s="40"/>
      <c r="I121" s="40"/>
      <c r="J121" s="40"/>
      <c r="K121" s="40"/>
      <c r="L121" s="40"/>
      <c r="M121" s="40"/>
      <c r="N121" s="40"/>
    </row>
    <row r="122" spans="1:14" x14ac:dyDescent="0.35">
      <c r="C122" s="40"/>
      <c r="D122" s="40"/>
      <c r="E122" s="40"/>
      <c r="F122" s="40"/>
      <c r="G122" s="40"/>
      <c r="H122" s="40"/>
      <c r="I122" s="40"/>
      <c r="J122" s="40"/>
      <c r="K122" s="40"/>
      <c r="L122" s="40"/>
      <c r="M122" s="40"/>
      <c r="N122" s="40"/>
    </row>
    <row r="123" spans="1:14" x14ac:dyDescent="0.35">
      <c r="C123" s="40"/>
      <c r="D123" s="40"/>
      <c r="E123" s="40"/>
      <c r="F123" s="40"/>
      <c r="G123" s="40"/>
      <c r="H123" s="40"/>
      <c r="I123" s="40"/>
      <c r="J123" s="40"/>
      <c r="K123" s="40"/>
      <c r="L123" s="40"/>
      <c r="M123" s="40"/>
      <c r="N123" s="40"/>
    </row>
    <row r="124" spans="1:14" x14ac:dyDescent="0.35">
      <c r="C124" s="40"/>
      <c r="D124" s="40"/>
      <c r="E124" s="40"/>
      <c r="F124" s="40"/>
      <c r="G124" s="40"/>
      <c r="H124" s="40"/>
      <c r="I124" s="40"/>
      <c r="J124" s="40"/>
      <c r="K124" s="40"/>
      <c r="L124" s="40"/>
      <c r="M124" s="40"/>
      <c r="N124" s="40"/>
    </row>
    <row r="125" spans="1:14" x14ac:dyDescent="0.35">
      <c r="C125" s="40"/>
      <c r="D125" s="40"/>
      <c r="E125" s="40"/>
      <c r="F125" s="40"/>
      <c r="G125" s="40"/>
      <c r="H125" s="40"/>
      <c r="I125" s="40"/>
      <c r="J125" s="40"/>
      <c r="K125" s="40"/>
      <c r="L125" s="40"/>
      <c r="M125" s="40"/>
      <c r="N125" s="40"/>
    </row>
    <row r="126" spans="1:14" x14ac:dyDescent="0.35">
      <c r="C126" s="40"/>
      <c r="D126" s="40"/>
      <c r="E126" s="40"/>
      <c r="F126" s="40"/>
      <c r="G126" s="40"/>
      <c r="H126" s="40"/>
      <c r="I126" s="40"/>
      <c r="J126" s="40"/>
      <c r="K126" s="40"/>
      <c r="L126" s="40"/>
      <c r="M126" s="40"/>
      <c r="N126" s="40"/>
    </row>
    <row r="127" spans="1:14" x14ac:dyDescent="0.35">
      <c r="C127" s="40"/>
      <c r="D127" s="40"/>
      <c r="E127" s="40"/>
      <c r="F127" s="40"/>
      <c r="G127" s="40"/>
      <c r="H127" s="40"/>
      <c r="I127" s="40"/>
      <c r="J127" s="40"/>
      <c r="K127" s="40"/>
      <c r="L127" s="40"/>
      <c r="M127" s="40"/>
      <c r="N127" s="40"/>
    </row>
    <row r="128" spans="1:14" x14ac:dyDescent="0.35">
      <c r="C128" s="40"/>
      <c r="D128" s="40"/>
      <c r="E128" s="40"/>
      <c r="F128" s="40"/>
      <c r="G128" s="40"/>
      <c r="H128" s="40"/>
      <c r="I128" s="40"/>
      <c r="J128" s="40"/>
      <c r="K128" s="40"/>
      <c r="L128" s="40"/>
      <c r="M128" s="40"/>
      <c r="N128" s="40"/>
    </row>
    <row r="129" spans="3:14" x14ac:dyDescent="0.35">
      <c r="C129" s="40"/>
      <c r="D129" s="40"/>
      <c r="E129" s="40"/>
      <c r="F129" s="40"/>
      <c r="G129" s="40"/>
      <c r="H129" s="40"/>
      <c r="I129" s="40"/>
      <c r="J129" s="40"/>
      <c r="K129" s="40"/>
      <c r="L129" s="40"/>
      <c r="M129" s="40"/>
      <c r="N129" s="40"/>
    </row>
    <row r="130" spans="3:14" x14ac:dyDescent="0.35">
      <c r="C130" s="40"/>
      <c r="D130" s="40"/>
      <c r="E130" s="40"/>
      <c r="F130" s="40"/>
      <c r="G130" s="40"/>
      <c r="H130" s="40"/>
      <c r="I130" s="40"/>
      <c r="J130" s="40"/>
      <c r="K130" s="40"/>
      <c r="L130" s="40"/>
      <c r="M130" s="40"/>
      <c r="N130" s="40"/>
    </row>
    <row r="131" spans="3:14" x14ac:dyDescent="0.35">
      <c r="C131" s="40"/>
      <c r="D131" s="40"/>
      <c r="E131" s="40"/>
      <c r="F131" s="40"/>
      <c r="G131" s="40"/>
      <c r="H131" s="40"/>
      <c r="I131" s="40"/>
      <c r="J131" s="40"/>
      <c r="K131" s="40"/>
      <c r="L131" s="40"/>
      <c r="M131" s="40"/>
      <c r="N131" s="40"/>
    </row>
    <row r="132" spans="3:14" x14ac:dyDescent="0.35">
      <c r="C132" s="40"/>
      <c r="D132" s="40"/>
      <c r="E132" s="40"/>
      <c r="F132" s="40"/>
      <c r="G132" s="40"/>
      <c r="H132" s="40"/>
      <c r="I132" s="40"/>
      <c r="J132" s="40"/>
      <c r="K132" s="40"/>
      <c r="L132" s="40"/>
      <c r="M132" s="40"/>
      <c r="N132" s="40"/>
    </row>
    <row r="133" spans="3:14" x14ac:dyDescent="0.35">
      <c r="C133" s="40"/>
      <c r="D133" s="40"/>
      <c r="E133" s="40"/>
      <c r="F133" s="40"/>
      <c r="G133" s="40"/>
      <c r="H133" s="40"/>
      <c r="I133" s="40"/>
      <c r="J133" s="40"/>
      <c r="K133" s="40"/>
      <c r="L133" s="40"/>
      <c r="M133" s="40"/>
      <c r="N133" s="40"/>
    </row>
    <row r="134" spans="3:14" x14ac:dyDescent="0.35">
      <c r="C134" s="40"/>
      <c r="D134" s="40"/>
      <c r="E134" s="40"/>
      <c r="F134" s="40"/>
      <c r="G134" s="40"/>
      <c r="H134" s="40"/>
      <c r="I134" s="40"/>
      <c r="J134" s="40"/>
      <c r="K134" s="40"/>
      <c r="L134" s="40"/>
      <c r="M134" s="40"/>
      <c r="N134" s="40"/>
    </row>
    <row r="135" spans="3:14" x14ac:dyDescent="0.35">
      <c r="C135" s="40"/>
      <c r="D135" s="40"/>
      <c r="E135" s="40"/>
      <c r="F135" s="40"/>
      <c r="G135" s="40"/>
      <c r="H135" s="40"/>
      <c r="I135" s="40"/>
      <c r="J135" s="40"/>
      <c r="K135" s="40"/>
      <c r="L135" s="40"/>
      <c r="M135" s="40"/>
      <c r="N135" s="40"/>
    </row>
    <row r="136" spans="3:14" x14ac:dyDescent="0.35">
      <c r="C136" s="40"/>
      <c r="D136" s="40"/>
      <c r="E136" s="40"/>
      <c r="F136" s="40"/>
      <c r="G136" s="40"/>
      <c r="H136" s="40"/>
      <c r="I136" s="40"/>
      <c r="J136" s="40"/>
      <c r="K136" s="40"/>
      <c r="L136" s="40"/>
      <c r="M136" s="40"/>
      <c r="N136" s="40"/>
    </row>
    <row r="137" spans="3:14" x14ac:dyDescent="0.35">
      <c r="C137" s="40"/>
      <c r="D137" s="40"/>
      <c r="E137" s="40"/>
      <c r="F137" s="40"/>
      <c r="G137" s="40"/>
      <c r="H137" s="40"/>
      <c r="I137" s="40"/>
      <c r="J137" s="40"/>
      <c r="K137" s="40"/>
      <c r="L137" s="40"/>
      <c r="M137" s="40"/>
      <c r="N137" s="40"/>
    </row>
  </sheetData>
  <mergeCells count="2">
    <mergeCell ref="A3:C3"/>
    <mergeCell ref="A4:C4"/>
  </mergeCells>
  <pageMargins left="0.7" right="0.7" top="0.75" bottom="0.75" header="0.3" footer="0.3"/>
  <pageSetup paperSize="9" orientation="portrait" r:id="rId1"/>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O94"/>
  <sheetViews>
    <sheetView zoomScale="57" zoomScaleNormal="80" workbookViewId="0"/>
  </sheetViews>
  <sheetFormatPr defaultRowHeight="14" x14ac:dyDescent="0.3"/>
  <cols>
    <col min="1" max="1" width="35.83203125" style="1" customWidth="1"/>
    <col min="2" max="2" width="25.33203125" style="1" customWidth="1"/>
    <col min="3" max="3" width="25.5" style="1" customWidth="1"/>
    <col min="4" max="4" width="21.75" style="1" customWidth="1"/>
    <col min="5" max="5" width="17.83203125" style="1" customWidth="1"/>
    <col min="6" max="6" width="18.33203125" style="1" customWidth="1"/>
    <col min="7" max="7" width="21.25" style="1" customWidth="1"/>
    <col min="8" max="8" width="20.33203125" style="1" customWidth="1"/>
    <col min="9" max="9" width="19.4140625" customWidth="1"/>
    <col min="10" max="10" width="16" customWidth="1"/>
    <col min="11" max="11" width="14.08203125" customWidth="1"/>
    <col min="12" max="12" width="15.25" customWidth="1"/>
    <col min="15" max="15" width="13.1640625" bestFit="1" customWidth="1"/>
    <col min="18" max="18" width="12.25" bestFit="1" customWidth="1"/>
  </cols>
  <sheetData>
    <row r="1" spans="1:7" ht="20" x14ac:dyDescent="0.4">
      <c r="A1" s="267" t="s">
        <v>189</v>
      </c>
    </row>
    <row r="2" spans="1:7" ht="15.5" x14ac:dyDescent="0.35">
      <c r="A2" s="42" t="str">
        <f>INFO!A2</f>
        <v>VM/KAO 23.9.2024</v>
      </c>
      <c r="B2" s="42"/>
      <c r="C2" s="42"/>
      <c r="D2" s="42"/>
      <c r="E2" s="42"/>
      <c r="F2" s="42"/>
      <c r="G2" s="42"/>
    </row>
    <row r="3" spans="1:7" ht="84" customHeight="1" x14ac:dyDescent="0.35">
      <c r="A3" s="449" t="s">
        <v>420</v>
      </c>
      <c r="B3" s="449"/>
      <c r="C3" s="449"/>
      <c r="D3" s="449"/>
      <c r="E3" s="42"/>
      <c r="F3" s="42"/>
      <c r="G3" s="42"/>
    </row>
    <row r="4" spans="1:7" ht="15.5" x14ac:dyDescent="0.35">
      <c r="A4" s="120"/>
      <c r="B4" s="120"/>
      <c r="C4" s="117"/>
      <c r="D4" s="38"/>
      <c r="E4" s="42"/>
      <c r="F4" s="42"/>
      <c r="G4" s="42"/>
    </row>
    <row r="5" spans="1:7" ht="17" thickBot="1" x14ac:dyDescent="0.4">
      <c r="A5" s="252" t="s">
        <v>189</v>
      </c>
      <c r="B5" s="51"/>
      <c r="C5" s="51"/>
      <c r="D5" s="38"/>
      <c r="E5" s="42"/>
      <c r="F5" s="42"/>
    </row>
    <row r="6" spans="1:7" ht="16" thickTop="1" x14ac:dyDescent="0.35">
      <c r="A6" s="381" t="s">
        <v>369</v>
      </c>
      <c r="B6" s="382" t="s">
        <v>40</v>
      </c>
      <c r="C6" s="382" t="s">
        <v>385</v>
      </c>
      <c r="D6" s="38"/>
      <c r="E6" s="42"/>
      <c r="F6" s="42"/>
    </row>
    <row r="7" spans="1:7" ht="15.5" x14ac:dyDescent="0.35">
      <c r="A7" s="118">
        <f>'Rahoituksen taso 2025'!B24</f>
        <v>580541663.98398113</v>
      </c>
      <c r="B7" s="118">
        <f>Määräytymistekijät!C30</f>
        <v>5573310</v>
      </c>
      <c r="C7" s="119">
        <f>A7/B7</f>
        <v>104.16461025566156</v>
      </c>
      <c r="D7" s="38"/>
      <c r="E7" s="42"/>
      <c r="F7" s="42"/>
    </row>
    <row r="8" spans="1:7" ht="15.5" x14ac:dyDescent="0.35">
      <c r="A8"/>
      <c r="B8"/>
      <c r="C8" s="38"/>
      <c r="D8" s="38"/>
      <c r="E8" s="42"/>
      <c r="F8" s="42"/>
      <c r="G8" s="42"/>
    </row>
    <row r="9" spans="1:7" ht="17" thickBot="1" x14ac:dyDescent="0.4">
      <c r="A9" s="253" t="s">
        <v>177</v>
      </c>
      <c r="B9" s="93"/>
      <c r="C9" s="93"/>
      <c r="D9" s="93"/>
      <c r="E9" s="94"/>
      <c r="F9" s="95"/>
      <c r="G9" s="42"/>
    </row>
    <row r="10" spans="1:7" ht="16" thickTop="1" x14ac:dyDescent="0.35">
      <c r="A10" s="48" t="s">
        <v>190</v>
      </c>
      <c r="B10" s="283" t="s">
        <v>168</v>
      </c>
      <c r="C10" s="283" t="s">
        <v>14</v>
      </c>
      <c r="D10" s="283" t="s">
        <v>191</v>
      </c>
      <c r="E10" s="284" t="s">
        <v>6</v>
      </c>
      <c r="F10" s="95"/>
      <c r="G10" s="42"/>
    </row>
    <row r="11" spans="1:7" ht="18.5" customHeight="1" x14ac:dyDescent="0.35">
      <c r="A11" s="96" t="s">
        <v>179</v>
      </c>
      <c r="B11" s="285">
        <v>0.65</v>
      </c>
      <c r="C11" s="286">
        <v>0.05</v>
      </c>
      <c r="D11" s="286">
        <v>0.3</v>
      </c>
      <c r="E11" s="287">
        <v>1</v>
      </c>
      <c r="F11" s="95"/>
      <c r="G11" s="42"/>
    </row>
    <row r="12" spans="1:7" ht="15.5" x14ac:dyDescent="0.35">
      <c r="A12" s="97" t="s">
        <v>180</v>
      </c>
      <c r="B12" s="98">
        <f>B11*A7</f>
        <v>377352081.58958775</v>
      </c>
      <c r="C12" s="98">
        <f>C11*A7</f>
        <v>29027083.199199058</v>
      </c>
      <c r="D12" s="98">
        <f>D11*A7</f>
        <v>174162499.19519433</v>
      </c>
      <c r="E12" s="99">
        <f>SUM(B12:D12)</f>
        <v>580541663.98398113</v>
      </c>
      <c r="F12" s="95"/>
      <c r="G12" s="42"/>
    </row>
    <row r="13" spans="1:7" ht="15.5" x14ac:dyDescent="0.35">
      <c r="A13" s="100" t="s">
        <v>181</v>
      </c>
      <c r="B13" s="295">
        <f>B12/B7</f>
        <v>67.706996666180018</v>
      </c>
      <c r="C13" s="295">
        <f>C12/B7</f>
        <v>5.2082305127830786</v>
      </c>
      <c r="D13" s="295">
        <f>D12/B7</f>
        <v>31.249383076698468</v>
      </c>
      <c r="E13" s="296"/>
      <c r="F13" s="95"/>
      <c r="G13" s="42"/>
    </row>
    <row r="14" spans="1:7" ht="15.5" x14ac:dyDescent="0.35">
      <c r="A14" s="95"/>
      <c r="B14" s="95"/>
      <c r="C14" s="95"/>
      <c r="D14" s="95"/>
      <c r="E14" s="95"/>
      <c r="F14" s="95"/>
      <c r="G14" s="42"/>
    </row>
    <row r="15" spans="1:7" ht="17" thickBot="1" x14ac:dyDescent="0.4">
      <c r="A15" s="252" t="s">
        <v>370</v>
      </c>
      <c r="B15" s="101"/>
      <c r="C15" s="101"/>
      <c r="D15" s="94"/>
      <c r="E15" s="94"/>
      <c r="F15" s="95"/>
      <c r="G15" s="42"/>
    </row>
    <row r="16" spans="1:7" ht="16" thickTop="1" x14ac:dyDescent="0.35">
      <c r="A16" s="102" t="s">
        <v>8</v>
      </c>
      <c r="B16" s="102" t="s">
        <v>9</v>
      </c>
      <c r="C16" s="102" t="s">
        <v>40</v>
      </c>
      <c r="D16" s="102" t="s">
        <v>41</v>
      </c>
      <c r="E16" s="102" t="s">
        <v>44</v>
      </c>
      <c r="F16" s="95"/>
      <c r="G16" s="42"/>
    </row>
    <row r="17" spans="1:7" ht="15.5" x14ac:dyDescent="0.35">
      <c r="A17" s="95">
        <v>31</v>
      </c>
      <c r="B17" s="95" t="s">
        <v>17</v>
      </c>
      <c r="C17" s="99">
        <f>Määräytymistekijät!C8</f>
        <v>674500</v>
      </c>
      <c r="D17" s="104">
        <f>Määräytymistekijät!F35</f>
        <v>1.5657368094057159E-2</v>
      </c>
      <c r="E17" s="105">
        <f>Määräytymistekijät!M35</f>
        <v>0.38402213189446927</v>
      </c>
      <c r="F17" s="127"/>
      <c r="G17" s="42"/>
    </row>
    <row r="18" spans="1:7" ht="15.5" x14ac:dyDescent="0.35">
      <c r="A18" s="95">
        <v>32</v>
      </c>
      <c r="B18" s="95" t="s">
        <v>49</v>
      </c>
      <c r="C18" s="99">
        <f>Määräytymistekijät!C9</f>
        <v>285654</v>
      </c>
      <c r="D18" s="104">
        <f>Määräytymistekijät!F36</f>
        <v>1.4010592418740277E-2</v>
      </c>
      <c r="E18" s="105">
        <f>Määräytymistekijät!M36</f>
        <v>0.78083107991247036</v>
      </c>
      <c r="F18" s="95"/>
      <c r="G18" s="42"/>
    </row>
    <row r="19" spans="1:7" ht="15.5" x14ac:dyDescent="0.35">
      <c r="A19" s="95">
        <v>33</v>
      </c>
      <c r="B19" s="95" t="s">
        <v>19</v>
      </c>
      <c r="C19" s="99">
        <f>Määräytymistekijät!C10</f>
        <v>494952</v>
      </c>
      <c r="D19" s="104">
        <f>Määräytymistekijät!F37</f>
        <v>0.23432907689622334</v>
      </c>
      <c r="E19" s="105">
        <f>Määräytymistekijät!M37</f>
        <v>0.79662362614974735</v>
      </c>
      <c r="F19" s="95"/>
      <c r="G19" s="42"/>
    </row>
    <row r="20" spans="1:7" ht="15.5" x14ac:dyDescent="0.35">
      <c r="A20" s="95">
        <v>34</v>
      </c>
      <c r="B20" s="95" t="s">
        <v>20</v>
      </c>
      <c r="C20" s="99">
        <f>Määräytymistekijät!C11</f>
        <v>98987</v>
      </c>
      <c r="D20" s="104">
        <f>Määräytymistekijät!F38</f>
        <v>0.82007391799069929</v>
      </c>
      <c r="E20" s="105">
        <f>Määräytymistekijät!M38</f>
        <v>1.0466947294607152</v>
      </c>
      <c r="F20" s="95"/>
      <c r="G20" s="42"/>
    </row>
    <row r="21" spans="1:7" ht="15.5" x14ac:dyDescent="0.35">
      <c r="A21" s="95">
        <v>35</v>
      </c>
      <c r="B21" s="95" t="s">
        <v>21</v>
      </c>
      <c r="C21" s="99">
        <f>Määräytymistekijät!C12</f>
        <v>205444</v>
      </c>
      <c r="D21" s="104">
        <f>Määräytymistekijät!F39</f>
        <v>0.12326174854010565</v>
      </c>
      <c r="E21" s="105">
        <f>Määräytymistekijät!M39</f>
        <v>1.0156410439668022</v>
      </c>
      <c r="F21" s="95"/>
      <c r="G21" s="42"/>
    </row>
    <row r="22" spans="1:7" ht="15.5" x14ac:dyDescent="0.35">
      <c r="A22" s="95">
        <v>2</v>
      </c>
      <c r="B22" s="95" t="s">
        <v>22</v>
      </c>
      <c r="C22" s="99">
        <f>Määräytymistekijät!C13</f>
        <v>490786</v>
      </c>
      <c r="D22" s="104">
        <f>Määräytymistekijät!F40</f>
        <v>0.61767451860081091</v>
      </c>
      <c r="E22" s="105">
        <f>Määräytymistekijät!M40</f>
        <v>0.97637751837097253</v>
      </c>
      <c r="F22" s="95"/>
      <c r="G22" s="42"/>
    </row>
    <row r="23" spans="1:7" ht="15.5" x14ac:dyDescent="0.35">
      <c r="A23" s="95">
        <v>4</v>
      </c>
      <c r="B23" s="95" t="s">
        <v>23</v>
      </c>
      <c r="C23" s="99">
        <f>Määräytymistekijät!C14</f>
        <v>211740</v>
      </c>
      <c r="D23" s="104">
        <f>Määräytymistekijät!F41</f>
        <v>0.8011908532842219</v>
      </c>
      <c r="E23" s="105">
        <f>Määräytymistekijät!M41</f>
        <v>1.4543755597547141</v>
      </c>
      <c r="F23" s="95"/>
      <c r="G23" s="42"/>
    </row>
    <row r="24" spans="1:7" ht="15.5" x14ac:dyDescent="0.35">
      <c r="A24" s="95">
        <v>5</v>
      </c>
      <c r="B24" s="95" t="s">
        <v>24</v>
      </c>
      <c r="C24" s="99">
        <f>Määräytymistekijät!C15</f>
        <v>169547</v>
      </c>
      <c r="D24" s="104">
        <f>Määräytymistekijät!F42</f>
        <v>0.49689991180610349</v>
      </c>
      <c r="E24" s="105">
        <f>Määräytymistekijät!M42</f>
        <v>1.2052133617069922</v>
      </c>
      <c r="F24" s="95"/>
      <c r="G24" s="42"/>
    </row>
    <row r="25" spans="1:7" ht="15.5" x14ac:dyDescent="0.35">
      <c r="A25" s="95">
        <v>6</v>
      </c>
      <c r="B25" s="95" t="s">
        <v>25</v>
      </c>
      <c r="C25" s="99">
        <f>Määräytymistekijät!C16</f>
        <v>539309</v>
      </c>
      <c r="D25" s="104">
        <f>Määräytymistekijät!F43</f>
        <v>0.42558239469803849</v>
      </c>
      <c r="E25" s="105">
        <f>Määräytymistekijät!M43</f>
        <v>0.98992420830488692</v>
      </c>
      <c r="F25" s="95"/>
      <c r="G25" s="42"/>
    </row>
    <row r="26" spans="1:7" ht="15.5" x14ac:dyDescent="0.35">
      <c r="A26" s="95">
        <v>7</v>
      </c>
      <c r="B26" s="95" t="s">
        <v>26</v>
      </c>
      <c r="C26" s="99">
        <f>Määräytymistekijät!C17</f>
        <v>204479</v>
      </c>
      <c r="D26" s="104">
        <f>Määräytymistekijät!F44</f>
        <v>0.50109604062542124</v>
      </c>
      <c r="E26" s="105">
        <f>Määräytymistekijät!M44</f>
        <v>1.1682211876641513</v>
      </c>
      <c r="F26" s="95"/>
      <c r="G26" s="42"/>
    </row>
    <row r="27" spans="1:7" ht="15.5" x14ac:dyDescent="0.35">
      <c r="A27" s="95">
        <v>8</v>
      </c>
      <c r="B27" s="95" t="s">
        <v>27</v>
      </c>
      <c r="C27" s="99">
        <f>Määräytymistekijät!C18</f>
        <v>158658</v>
      </c>
      <c r="D27" s="104">
        <f>Määräytymistekijät!F45</f>
        <v>0.62970090411557955</v>
      </c>
      <c r="E27" s="105">
        <f>Määräytymistekijät!M45</f>
        <v>1.5146775863734454</v>
      </c>
      <c r="F27" s="95"/>
      <c r="G27" s="42"/>
    </row>
    <row r="28" spans="1:7" ht="15.5" x14ac:dyDescent="0.35">
      <c r="A28" s="95">
        <v>9</v>
      </c>
      <c r="B28" s="95" t="s">
        <v>28</v>
      </c>
      <c r="C28" s="99">
        <f>Määräytymistekijät!C19</f>
        <v>125162</v>
      </c>
      <c r="D28" s="104">
        <f>Määräytymistekijät!F46</f>
        <v>0.81044227977174521</v>
      </c>
      <c r="E28" s="105">
        <f>Määräytymistekijät!M46</f>
        <v>1.402662026079267</v>
      </c>
      <c r="F28" s="95"/>
      <c r="G28" s="42"/>
    </row>
    <row r="29" spans="1:7" ht="15.5" x14ac:dyDescent="0.35">
      <c r="A29" s="95">
        <v>10</v>
      </c>
      <c r="B29" s="95" t="s">
        <v>29</v>
      </c>
      <c r="C29" s="99">
        <f>Määräytymistekijät!C20</f>
        <v>129914</v>
      </c>
      <c r="D29" s="104">
        <f>Määräytymistekijät!F47</f>
        <v>1.9427570020409242</v>
      </c>
      <c r="E29" s="105">
        <f>Määräytymistekijät!M47</f>
        <v>1.2073585067363934</v>
      </c>
      <c r="F29" s="95"/>
      <c r="G29" s="42"/>
    </row>
    <row r="30" spans="1:7" ht="15.5" x14ac:dyDescent="0.35">
      <c r="A30" s="95">
        <v>11</v>
      </c>
      <c r="B30" s="95" t="s">
        <v>30</v>
      </c>
      <c r="C30" s="99">
        <f>Määräytymistekijät!C21</f>
        <v>248190</v>
      </c>
      <c r="D30" s="104">
        <f>Määräytymistekijät!F48</f>
        <v>1.2535662997796793</v>
      </c>
      <c r="E30" s="105">
        <f>Määräytymistekijät!M48</f>
        <v>1.1248203219036264</v>
      </c>
      <c r="F30" s="95"/>
      <c r="G30" s="42"/>
    </row>
    <row r="31" spans="1:7" ht="15.5" x14ac:dyDescent="0.35">
      <c r="A31" s="95">
        <v>12</v>
      </c>
      <c r="B31" s="95" t="s">
        <v>31</v>
      </c>
      <c r="C31" s="99">
        <f>Määräytymistekijät!C22</f>
        <v>162321</v>
      </c>
      <c r="D31" s="104">
        <f>Määräytymistekijät!F49</f>
        <v>2.0826920179521626</v>
      </c>
      <c r="E31" s="105">
        <f>Määräytymistekijät!M49</f>
        <v>1.1790782673788014</v>
      </c>
      <c r="F31" s="95"/>
      <c r="G31" s="42"/>
    </row>
    <row r="32" spans="1:7" ht="15.5" x14ac:dyDescent="0.35">
      <c r="A32" s="95">
        <v>13</v>
      </c>
      <c r="B32" s="95" t="s">
        <v>32</v>
      </c>
      <c r="C32" s="99">
        <f>Määräytymistekijät!C23</f>
        <v>273271</v>
      </c>
      <c r="D32" s="104">
        <f>Määräytymistekijät!F50</f>
        <v>1.026920964589588</v>
      </c>
      <c r="E32" s="105">
        <f>Määräytymistekijät!M50</f>
        <v>1.068976591337544</v>
      </c>
      <c r="F32" s="95"/>
      <c r="G32" s="42"/>
    </row>
    <row r="33" spans="1:15" ht="15.5" x14ac:dyDescent="0.35">
      <c r="A33" s="95">
        <v>14</v>
      </c>
      <c r="B33" s="95" t="s">
        <v>33</v>
      </c>
      <c r="C33" s="99">
        <f>Määräytymistekijät!C24</f>
        <v>190539</v>
      </c>
      <c r="D33" s="104">
        <f>Määräytymistekijät!F51</f>
        <v>1.1120942419380071</v>
      </c>
      <c r="E33" s="105">
        <f>Määräytymistekijät!M51</f>
        <v>1.3745267923928421</v>
      </c>
      <c r="F33" s="95"/>
      <c r="G33" s="42"/>
    </row>
    <row r="34" spans="1:15" ht="15.5" x14ac:dyDescent="0.35">
      <c r="A34" s="95">
        <v>15</v>
      </c>
      <c r="B34" s="95" t="s">
        <v>34</v>
      </c>
      <c r="C34" s="99">
        <f>Määräytymistekijät!C25</f>
        <v>177602</v>
      </c>
      <c r="D34" s="104">
        <f>Määräytymistekijät!F52</f>
        <v>1.4821891865231371</v>
      </c>
      <c r="E34" s="105">
        <f>Määräytymistekijät!M52</f>
        <v>1.0452196392684427</v>
      </c>
      <c r="F34" s="95"/>
      <c r="G34" s="42"/>
    </row>
    <row r="35" spans="1:15" ht="15.5" x14ac:dyDescent="0.35">
      <c r="A35" s="95">
        <v>16</v>
      </c>
      <c r="B35" s="95" t="s">
        <v>35</v>
      </c>
      <c r="C35" s="99">
        <f>Määräytymistekijät!C26</f>
        <v>67736</v>
      </c>
      <c r="D35" s="104">
        <f>Määräytymistekijät!F53</f>
        <v>1.4083581868402948</v>
      </c>
      <c r="E35" s="105">
        <f>Määräytymistekijät!M53</f>
        <v>1.1259575723748929</v>
      </c>
      <c r="F35" s="95"/>
      <c r="G35" s="42"/>
    </row>
    <row r="36" spans="1:15" ht="15.5" x14ac:dyDescent="0.35">
      <c r="A36" s="95">
        <v>17</v>
      </c>
      <c r="B36" s="95" t="s">
        <v>36</v>
      </c>
      <c r="C36" s="99">
        <f>Määräytymistekijät!C27</f>
        <v>418205</v>
      </c>
      <c r="D36" s="104">
        <f>Määräytymistekijät!F54</f>
        <v>1.6183486533806251</v>
      </c>
      <c r="E36" s="105">
        <f>Määräytymistekijät!M54</f>
        <v>0.98754837573451082</v>
      </c>
      <c r="F36" s="95"/>
      <c r="G36" s="42"/>
    </row>
    <row r="37" spans="1:15" ht="15.5" x14ac:dyDescent="0.35">
      <c r="A37" s="95">
        <v>18</v>
      </c>
      <c r="B37" s="95" t="s">
        <v>37</v>
      </c>
      <c r="C37" s="99">
        <f>Määräytymistekijät!C28</f>
        <v>70164</v>
      </c>
      <c r="D37" s="104">
        <f>Määräytymistekijät!F55</f>
        <v>4.7729008329328879</v>
      </c>
      <c r="E37" s="105">
        <f>Määräytymistekijät!M55</f>
        <v>1.6202366605431355</v>
      </c>
      <c r="F37" s="95"/>
      <c r="G37" s="42"/>
    </row>
    <row r="38" spans="1:15" ht="15.5" x14ac:dyDescent="0.35">
      <c r="A38" s="95">
        <v>19</v>
      </c>
      <c r="B38" s="95" t="s">
        <v>38</v>
      </c>
      <c r="C38" s="99">
        <f>Määräytymistekijät!C29</f>
        <v>176150</v>
      </c>
      <c r="D38" s="104">
        <f>Määräytymistekijät!F56</f>
        <v>8.4102879223610039</v>
      </c>
      <c r="E38" s="105">
        <f>Määräytymistekijät!M56</f>
        <v>1.3315904140391579</v>
      </c>
      <c r="F38" s="95"/>
      <c r="G38" s="42"/>
    </row>
    <row r="39" spans="1:15" ht="15.5" x14ac:dyDescent="0.35">
      <c r="A39" s="103"/>
      <c r="B39" s="95" t="s">
        <v>39</v>
      </c>
      <c r="C39" s="106">
        <f>Määräytymistekijät!C30</f>
        <v>5573310</v>
      </c>
      <c r="D39" s="107">
        <f>Määräytymistekijät!F57</f>
        <v>1</v>
      </c>
      <c r="E39" s="108">
        <f>Määräytymistekijät!M57</f>
        <v>1</v>
      </c>
      <c r="F39" s="95"/>
      <c r="G39" s="42"/>
    </row>
    <row r="40" spans="1:15" ht="15.5" x14ac:dyDescent="0.35">
      <c r="A40" s="95"/>
      <c r="B40" s="95"/>
      <c r="C40" s="95"/>
      <c r="D40" s="95"/>
      <c r="E40" s="95"/>
      <c r="F40" s="95"/>
      <c r="G40" s="42"/>
    </row>
    <row r="41" spans="1:15" ht="17" thickBot="1" x14ac:dyDescent="0.4">
      <c r="A41" s="252" t="s">
        <v>317</v>
      </c>
      <c r="B41" s="101"/>
      <c r="C41" s="101"/>
      <c r="D41" s="101"/>
      <c r="E41" s="101"/>
      <c r="F41" s="101"/>
      <c r="G41" s="109"/>
      <c r="H41" s="34"/>
    </row>
    <row r="42" spans="1:15" ht="16" thickTop="1" x14ac:dyDescent="0.35">
      <c r="A42" s="244" t="s">
        <v>8</v>
      </c>
      <c r="B42" s="244" t="s">
        <v>9</v>
      </c>
      <c r="C42" s="244" t="s">
        <v>168</v>
      </c>
      <c r="D42" s="244" t="s">
        <v>14</v>
      </c>
      <c r="E42" s="244" t="s">
        <v>191</v>
      </c>
      <c r="F42" s="244" t="s">
        <v>315</v>
      </c>
      <c r="G42" s="109"/>
      <c r="H42" s="207"/>
    </row>
    <row r="43" spans="1:15" ht="15.5" x14ac:dyDescent="0.35">
      <c r="A43" s="243">
        <v>31</v>
      </c>
      <c r="B43" s="243" t="s">
        <v>17</v>
      </c>
      <c r="C43" s="235">
        <f>C17*$B$13</f>
        <v>45668369.251338422</v>
      </c>
      <c r="D43" s="235">
        <f>D17*C17*$C$13</f>
        <v>55003.574432579022</v>
      </c>
      <c r="E43" s="235">
        <f>E17*C17*$D$13</f>
        <v>8094306.7015582183</v>
      </c>
      <c r="F43" s="236">
        <f>SUM(C43:E43)</f>
        <v>53817679.527329221</v>
      </c>
      <c r="G43" s="42"/>
      <c r="H43" s="178"/>
      <c r="I43" s="396"/>
      <c r="J43" s="303"/>
      <c r="L43" s="303"/>
      <c r="N43" s="303"/>
      <c r="O43" s="303"/>
    </row>
    <row r="44" spans="1:15" ht="15.5" x14ac:dyDescent="0.35">
      <c r="A44" s="243">
        <v>32</v>
      </c>
      <c r="B44" s="243" t="s">
        <v>18</v>
      </c>
      <c r="C44" s="235">
        <f t="shared" ref="C44:C65" si="0">C18*$B$13</f>
        <v>19340774.425680988</v>
      </c>
      <c r="D44" s="235">
        <f t="shared" ref="D44:D65" si="1">D18*C18*$C$13</f>
        <v>20844.285195462453</v>
      </c>
      <c r="E44" s="235">
        <f t="shared" ref="E44:E65" si="2">E18*C18*$D$13</f>
        <v>6970097.4374529105</v>
      </c>
      <c r="F44" s="236">
        <f t="shared" ref="F44:F65" si="3">SUM(C44:E44)</f>
        <v>26331716.148329362</v>
      </c>
      <c r="G44" s="42"/>
      <c r="H44" s="178"/>
      <c r="I44" s="396"/>
      <c r="J44" s="303"/>
      <c r="L44" s="303"/>
      <c r="N44" s="303"/>
      <c r="O44" s="303"/>
    </row>
    <row r="45" spans="1:15" ht="15.5" x14ac:dyDescent="0.35">
      <c r="A45" s="243">
        <v>33</v>
      </c>
      <c r="B45" s="243" t="s">
        <v>19</v>
      </c>
      <c r="C45" s="235">
        <f t="shared" si="0"/>
        <v>33511713.413919132</v>
      </c>
      <c r="D45" s="235">
        <f t="shared" si="1"/>
        <v>604059.14380726579</v>
      </c>
      <c r="E45" s="235">
        <f t="shared" si="2"/>
        <v>12321333.534594178</v>
      </c>
      <c r="F45" s="236">
        <f t="shared" si="3"/>
        <v>46437106.092320576</v>
      </c>
      <c r="G45" s="42"/>
      <c r="H45" s="178"/>
      <c r="I45" s="396"/>
      <c r="J45" s="303"/>
      <c r="L45" s="303"/>
      <c r="N45" s="303"/>
      <c r="O45" s="303"/>
    </row>
    <row r="46" spans="1:15" ht="15.5" x14ac:dyDescent="0.35">
      <c r="A46" s="243">
        <v>34</v>
      </c>
      <c r="B46" s="243" t="s">
        <v>20</v>
      </c>
      <c r="C46" s="235">
        <f t="shared" si="0"/>
        <v>6702112.4789951611</v>
      </c>
      <c r="D46" s="235">
        <f t="shared" si="1"/>
        <v>422786.74149722466</v>
      </c>
      <c r="E46" s="235">
        <f t="shared" si="2"/>
        <v>3237722.6806232873</v>
      </c>
      <c r="F46" s="236">
        <f t="shared" si="3"/>
        <v>10362621.901115673</v>
      </c>
      <c r="G46" s="42"/>
      <c r="H46" s="178"/>
      <c r="I46" s="396"/>
      <c r="J46" s="303"/>
      <c r="L46" s="303"/>
      <c r="N46" s="303"/>
      <c r="O46" s="303"/>
    </row>
    <row r="47" spans="1:15" ht="15.5" x14ac:dyDescent="0.35">
      <c r="A47" s="243">
        <v>35</v>
      </c>
      <c r="B47" s="243" t="s">
        <v>21</v>
      </c>
      <c r="C47" s="235">
        <f t="shared" si="0"/>
        <v>13909996.223086687</v>
      </c>
      <c r="D47" s="235">
        <f t="shared" si="1"/>
        <v>131890.03512645621</v>
      </c>
      <c r="E47" s="235">
        <f t="shared" si="2"/>
        <v>6520413.7318107868</v>
      </c>
      <c r="F47" s="236">
        <f t="shared" si="3"/>
        <v>20562299.99002393</v>
      </c>
      <c r="G47" s="42"/>
      <c r="H47" s="178"/>
      <c r="I47" s="396"/>
      <c r="J47" s="303"/>
      <c r="L47" s="303"/>
      <c r="N47" s="303"/>
      <c r="O47" s="303"/>
    </row>
    <row r="48" spans="1:15" ht="15.5" x14ac:dyDescent="0.35">
      <c r="A48" s="243">
        <v>2</v>
      </c>
      <c r="B48" s="243" t="s">
        <v>22</v>
      </c>
      <c r="C48" s="235">
        <f t="shared" si="0"/>
        <v>33229646.065807827</v>
      </c>
      <c r="D48" s="235">
        <f t="shared" si="1"/>
        <v>1578854.2797671678</v>
      </c>
      <c r="E48" s="235">
        <f t="shared" si="2"/>
        <v>14974467.397882706</v>
      </c>
      <c r="F48" s="236">
        <f t="shared" si="3"/>
        <v>49782967.743457705</v>
      </c>
      <c r="G48" s="42"/>
      <c r="H48" s="178"/>
      <c r="I48" s="396"/>
      <c r="J48" s="303"/>
      <c r="L48" s="303"/>
      <c r="N48" s="303"/>
      <c r="O48" s="303"/>
    </row>
    <row r="49" spans="1:15" ht="15.5" x14ac:dyDescent="0.35">
      <c r="A49" s="243">
        <v>4</v>
      </c>
      <c r="B49" s="243" t="s">
        <v>23</v>
      </c>
      <c r="C49" s="235">
        <f t="shared" si="0"/>
        <v>14336279.474096958</v>
      </c>
      <c r="D49" s="235">
        <f t="shared" si="1"/>
        <v>883545.8449825244</v>
      </c>
      <c r="E49" s="235">
        <f t="shared" si="2"/>
        <v>9623231.3007414378</v>
      </c>
      <c r="F49" s="236">
        <f t="shared" si="3"/>
        <v>24843056.619820919</v>
      </c>
      <c r="G49" s="42"/>
      <c r="H49" s="178"/>
      <c r="I49" s="396"/>
      <c r="J49" s="303"/>
      <c r="L49" s="303"/>
      <c r="N49" s="303"/>
      <c r="O49" s="303"/>
    </row>
    <row r="50" spans="1:15" ht="15.5" x14ac:dyDescent="0.35">
      <c r="A50" s="243">
        <v>5</v>
      </c>
      <c r="B50" s="243" t="s">
        <v>24</v>
      </c>
      <c r="C50" s="235">
        <f t="shared" si="0"/>
        <v>11479518.163760824</v>
      </c>
      <c r="D50" s="235">
        <f t="shared" si="1"/>
        <v>438782.42793456279</v>
      </c>
      <c r="E50" s="235">
        <f t="shared" si="2"/>
        <v>6385508.6201181505</v>
      </c>
      <c r="F50" s="236">
        <f t="shared" si="3"/>
        <v>18303809.211813539</v>
      </c>
      <c r="G50" s="42"/>
      <c r="H50" s="178"/>
      <c r="I50" s="396"/>
      <c r="J50" s="303"/>
      <c r="L50" s="303"/>
      <c r="N50" s="303"/>
      <c r="O50" s="303"/>
    </row>
    <row r="51" spans="1:15" ht="15.5" x14ac:dyDescent="0.35">
      <c r="A51" s="243">
        <v>6</v>
      </c>
      <c r="B51" s="243" t="s">
        <v>25</v>
      </c>
      <c r="C51" s="235">
        <f t="shared" si="0"/>
        <v>36514992.66504088</v>
      </c>
      <c r="D51" s="235">
        <f t="shared" si="1"/>
        <v>1195395.2323668776</v>
      </c>
      <c r="E51" s="235">
        <f t="shared" si="2"/>
        <v>16683265.479322772</v>
      </c>
      <c r="F51" s="236">
        <f t="shared" si="3"/>
        <v>54393653.376730531</v>
      </c>
      <c r="G51" s="42"/>
      <c r="H51" s="178"/>
      <c r="I51" s="396"/>
      <c r="J51" s="303"/>
      <c r="L51" s="303"/>
      <c r="N51" s="303"/>
      <c r="O51" s="303"/>
    </row>
    <row r="52" spans="1:15" ht="15.5" x14ac:dyDescent="0.35">
      <c r="A52" s="243">
        <v>7</v>
      </c>
      <c r="B52" s="243" t="s">
        <v>26</v>
      </c>
      <c r="C52" s="235">
        <f t="shared" si="0"/>
        <v>13844658.971303824</v>
      </c>
      <c r="D52" s="235">
        <f t="shared" si="1"/>
        <v>533654.1380253511</v>
      </c>
      <c r="E52" s="235">
        <f t="shared" si="2"/>
        <v>7464749.5136592463</v>
      </c>
      <c r="F52" s="236">
        <f t="shared" si="3"/>
        <v>21843062.622988421</v>
      </c>
      <c r="G52" s="42"/>
      <c r="H52" s="178"/>
      <c r="I52" s="396"/>
      <c r="J52" s="303"/>
      <c r="L52" s="303"/>
      <c r="N52" s="303"/>
      <c r="O52" s="303"/>
    </row>
    <row r="53" spans="1:15" ht="15.5" x14ac:dyDescent="0.35">
      <c r="A53" s="243">
        <v>8</v>
      </c>
      <c r="B53" s="243" t="s">
        <v>27</v>
      </c>
      <c r="C53" s="235">
        <f t="shared" si="0"/>
        <v>10742256.677062789</v>
      </c>
      <c r="D53" s="235">
        <f t="shared" si="1"/>
        <v>520339.13398369693</v>
      </c>
      <c r="E53" s="235">
        <f t="shared" si="2"/>
        <v>7509717.8842234584</v>
      </c>
      <c r="F53" s="236">
        <f t="shared" si="3"/>
        <v>18772313.695269946</v>
      </c>
      <c r="G53" s="42"/>
      <c r="H53" s="178"/>
      <c r="I53" s="396"/>
      <c r="J53" s="303"/>
      <c r="L53" s="303"/>
      <c r="N53" s="303"/>
      <c r="O53" s="303"/>
    </row>
    <row r="54" spans="1:15" ht="15.5" x14ac:dyDescent="0.35">
      <c r="A54" s="243">
        <v>9</v>
      </c>
      <c r="B54" s="243" t="s">
        <v>28</v>
      </c>
      <c r="C54" s="235">
        <f t="shared" si="0"/>
        <v>8474343.1167324241</v>
      </c>
      <c r="D54" s="235">
        <f t="shared" si="1"/>
        <v>528305.07346866326</v>
      </c>
      <c r="E54" s="235">
        <f t="shared" si="2"/>
        <v>5486141.208833904</v>
      </c>
      <c r="F54" s="236">
        <f t="shared" si="3"/>
        <v>14488789.399034992</v>
      </c>
      <c r="G54" s="42"/>
      <c r="H54" s="178"/>
      <c r="I54" s="396"/>
      <c r="J54" s="303"/>
      <c r="L54" s="303"/>
      <c r="N54" s="303"/>
      <c r="O54" s="303"/>
    </row>
    <row r="55" spans="1:15" ht="15.5" x14ac:dyDescent="0.35">
      <c r="A55" s="243">
        <v>10</v>
      </c>
      <c r="B55" s="243" t="s">
        <v>29</v>
      </c>
      <c r="C55" s="235">
        <f t="shared" si="0"/>
        <v>8796086.7648901101</v>
      </c>
      <c r="D55" s="235">
        <f t="shared" si="1"/>
        <v>1314512.2425422894</v>
      </c>
      <c r="E55" s="235">
        <f t="shared" si="2"/>
        <v>4901552.3914991431</v>
      </c>
      <c r="F55" s="236">
        <f t="shared" si="3"/>
        <v>15012151.398931542</v>
      </c>
      <c r="G55" s="42"/>
      <c r="H55" s="178"/>
      <c r="I55" s="396"/>
      <c r="J55" s="303"/>
      <c r="L55" s="303"/>
      <c r="N55" s="303"/>
      <c r="O55" s="303"/>
    </row>
    <row r="56" spans="1:15" ht="15.5" x14ac:dyDescent="0.35">
      <c r="A56" s="243">
        <v>11</v>
      </c>
      <c r="B56" s="243" t="s">
        <v>30</v>
      </c>
      <c r="C56" s="235">
        <f t="shared" si="0"/>
        <v>16804199.50257922</v>
      </c>
      <c r="D56" s="235">
        <f t="shared" si="1"/>
        <v>1620398.3224005969</v>
      </c>
      <c r="E56" s="235">
        <f t="shared" si="2"/>
        <v>8723863.8894571904</v>
      </c>
      <c r="F56" s="236">
        <f t="shared" si="3"/>
        <v>27148461.714437008</v>
      </c>
      <c r="G56" s="42"/>
      <c r="H56" s="178"/>
      <c r="I56" s="396"/>
      <c r="J56" s="303"/>
      <c r="L56" s="303"/>
      <c r="N56" s="303"/>
      <c r="O56" s="303"/>
    </row>
    <row r="57" spans="1:15" ht="15.5" x14ac:dyDescent="0.35">
      <c r="A57" s="243">
        <v>12</v>
      </c>
      <c r="B57" s="243" t="s">
        <v>31</v>
      </c>
      <c r="C57" s="235">
        <f t="shared" si="0"/>
        <v>10990267.405851007</v>
      </c>
      <c r="D57" s="235">
        <f t="shared" si="1"/>
        <v>1760718.6308712089</v>
      </c>
      <c r="E57" s="235">
        <f t="shared" si="2"/>
        <v>5980793.2850402389</v>
      </c>
      <c r="F57" s="236">
        <f t="shared" si="3"/>
        <v>18731779.321762454</v>
      </c>
      <c r="G57" s="42"/>
      <c r="H57" s="178"/>
      <c r="I57" s="396"/>
      <c r="J57" s="303"/>
      <c r="L57" s="303"/>
      <c r="N57" s="303"/>
      <c r="O57" s="303"/>
    </row>
    <row r="58" spans="1:15" ht="15.5" x14ac:dyDescent="0.35">
      <c r="A58" s="243">
        <v>13</v>
      </c>
      <c r="B58" s="243" t="s">
        <v>32</v>
      </c>
      <c r="C58" s="235">
        <f t="shared" si="0"/>
        <v>18502358.685963679</v>
      </c>
      <c r="D58" s="235">
        <f t="shared" si="1"/>
        <v>1461573.8483824898</v>
      </c>
      <c r="E58" s="235">
        <f t="shared" si="2"/>
        <v>9128579.224535102</v>
      </c>
      <c r="F58" s="236">
        <f t="shared" si="3"/>
        <v>29092511.758881271</v>
      </c>
      <c r="G58" s="42"/>
      <c r="H58" s="178"/>
      <c r="I58" s="396"/>
      <c r="J58" s="303"/>
      <c r="L58" s="303"/>
      <c r="N58" s="303"/>
      <c r="O58" s="303"/>
    </row>
    <row r="59" spans="1:15" ht="15.5" x14ac:dyDescent="0.35">
      <c r="A59" s="243">
        <v>14</v>
      </c>
      <c r="B59" s="243" t="s">
        <v>33</v>
      </c>
      <c r="C59" s="235">
        <f t="shared" si="0"/>
        <v>12900823.437777275</v>
      </c>
      <c r="D59" s="235">
        <f t="shared" si="1"/>
        <v>1103610.1124162301</v>
      </c>
      <c r="E59" s="235">
        <f t="shared" si="2"/>
        <v>8184243.4426866435</v>
      </c>
      <c r="F59" s="236">
        <f t="shared" si="3"/>
        <v>22188676.992880151</v>
      </c>
      <c r="G59" s="110"/>
      <c r="H59" s="178"/>
      <c r="I59" s="396"/>
      <c r="J59" s="303"/>
      <c r="L59" s="303"/>
      <c r="N59" s="303"/>
      <c r="O59" s="303"/>
    </row>
    <row r="60" spans="1:15" ht="15.5" x14ac:dyDescent="0.35">
      <c r="A60" s="243">
        <v>15</v>
      </c>
      <c r="B60" s="243" t="s">
        <v>34</v>
      </c>
      <c r="C60" s="235">
        <f t="shared" si="0"/>
        <v>12024898.021906903</v>
      </c>
      <c r="D60" s="235">
        <f t="shared" si="1"/>
        <v>1371013.370547221</v>
      </c>
      <c r="E60" s="235">
        <f t="shared" si="2"/>
        <v>5800919.8027833896</v>
      </c>
      <c r="F60" s="236">
        <f t="shared" si="3"/>
        <v>19196831.195237514</v>
      </c>
      <c r="G60" s="111"/>
      <c r="H60" s="178"/>
      <c r="I60" s="396"/>
      <c r="J60" s="303"/>
      <c r="L60" s="303"/>
      <c r="N60" s="303"/>
      <c r="O60" s="303"/>
    </row>
    <row r="61" spans="1:15" ht="15.5" x14ac:dyDescent="0.35">
      <c r="A61" s="243">
        <v>16</v>
      </c>
      <c r="B61" s="243" t="s">
        <v>35</v>
      </c>
      <c r="C61" s="235">
        <f t="shared" si="0"/>
        <v>4586201.1261803694</v>
      </c>
      <c r="D61" s="235">
        <f t="shared" si="1"/>
        <v>496847.22327325417</v>
      </c>
      <c r="E61" s="235">
        <f t="shared" si="2"/>
        <v>2383323.6399032534</v>
      </c>
      <c r="F61" s="236">
        <f t="shared" si="3"/>
        <v>7466371.9893568773</v>
      </c>
      <c r="G61" s="110"/>
      <c r="H61" s="178"/>
      <c r="I61" s="396"/>
      <c r="J61" s="303"/>
      <c r="L61" s="303"/>
      <c r="N61" s="303"/>
      <c r="O61" s="303"/>
    </row>
    <row r="62" spans="1:15" ht="15.5" x14ac:dyDescent="0.35">
      <c r="A62" s="243">
        <v>17</v>
      </c>
      <c r="B62" s="243" t="s">
        <v>36</v>
      </c>
      <c r="C62" s="235">
        <f t="shared" si="0"/>
        <v>28315404.540779814</v>
      </c>
      <c r="D62" s="235">
        <f t="shared" si="1"/>
        <v>3524938.2160383579</v>
      </c>
      <c r="E62" s="235">
        <f t="shared" si="2"/>
        <v>12905922.351928936</v>
      </c>
      <c r="F62" s="236">
        <f t="shared" si="3"/>
        <v>44746265.10874711</v>
      </c>
      <c r="G62" s="112"/>
      <c r="H62" s="178"/>
      <c r="I62" s="396"/>
      <c r="J62" s="303"/>
      <c r="L62" s="303"/>
      <c r="N62" s="303"/>
      <c r="O62" s="303"/>
    </row>
    <row r="63" spans="1:15" ht="15.5" x14ac:dyDescent="0.35">
      <c r="A63" s="243">
        <v>18</v>
      </c>
      <c r="B63" s="243" t="s">
        <v>37</v>
      </c>
      <c r="C63" s="235">
        <f t="shared" si="0"/>
        <v>4750593.7140858546</v>
      </c>
      <c r="D63" s="235">
        <f t="shared" si="1"/>
        <v>1744162.5149912399</v>
      </c>
      <c r="E63" s="235">
        <f t="shared" si="2"/>
        <v>3552501.2745727738</v>
      </c>
      <c r="F63" s="236">
        <f t="shared" si="3"/>
        <v>10047257.503649868</v>
      </c>
      <c r="G63" s="42"/>
      <c r="H63" s="178"/>
      <c r="I63" s="396"/>
      <c r="J63" s="303"/>
      <c r="L63" s="303"/>
      <c r="N63" s="303"/>
      <c r="O63" s="303"/>
    </row>
    <row r="64" spans="1:15" ht="15.5" x14ac:dyDescent="0.35">
      <c r="A64" s="243">
        <v>19</v>
      </c>
      <c r="B64" s="243" t="s">
        <v>38</v>
      </c>
      <c r="C64" s="235">
        <f t="shared" si="0"/>
        <v>11926587.462747609</v>
      </c>
      <c r="D64" s="235">
        <f t="shared" si="1"/>
        <v>7715848.8071483383</v>
      </c>
      <c r="E64" s="235">
        <f t="shared" si="2"/>
        <v>7329844.4019666091</v>
      </c>
      <c r="F64" s="236">
        <f t="shared" si="3"/>
        <v>26972280.671862558</v>
      </c>
      <c r="G64" s="42"/>
      <c r="H64" s="178"/>
      <c r="I64" s="396"/>
      <c r="J64" s="303"/>
      <c r="L64" s="303"/>
      <c r="N64" s="303"/>
      <c r="O64" s="303"/>
    </row>
    <row r="65" spans="1:15" ht="15.5" x14ac:dyDescent="0.35">
      <c r="A65" s="243"/>
      <c r="B65" s="243" t="s">
        <v>39</v>
      </c>
      <c r="C65" s="236">
        <f t="shared" si="0"/>
        <v>377352081.58958775</v>
      </c>
      <c r="D65" s="236">
        <f t="shared" si="1"/>
        <v>29027083.199199058</v>
      </c>
      <c r="E65" s="236">
        <f t="shared" si="2"/>
        <v>174162499.19519433</v>
      </c>
      <c r="F65" s="236">
        <f t="shared" si="3"/>
        <v>580541663.98398113</v>
      </c>
      <c r="G65" s="113"/>
      <c r="H65" s="178"/>
      <c r="I65" s="396"/>
      <c r="J65" s="303"/>
      <c r="L65" s="303"/>
      <c r="N65" s="303"/>
      <c r="O65" s="303"/>
    </row>
    <row r="66" spans="1:15" ht="15.5" x14ac:dyDescent="0.35">
      <c r="A66" s="243"/>
      <c r="B66" s="56" t="s">
        <v>192</v>
      </c>
      <c r="C66" s="323">
        <f>C65/F65</f>
        <v>0.65</v>
      </c>
      <c r="D66" s="323">
        <f>D65/F65</f>
        <v>0.05</v>
      </c>
      <c r="E66" s="323">
        <f>E65/F65</f>
        <v>0.3</v>
      </c>
      <c r="F66" s="323">
        <f>SUM(C66:E66)</f>
        <v>1</v>
      </c>
      <c r="G66" s="113"/>
      <c r="H66" s="35"/>
    </row>
    <row r="67" spans="1:15" s="171" customFormat="1" ht="15.5" x14ac:dyDescent="0.35">
      <c r="A67" s="237"/>
      <c r="B67" s="238"/>
      <c r="C67" s="239"/>
      <c r="D67" s="239"/>
      <c r="E67" s="239"/>
      <c r="F67" s="240"/>
      <c r="G67" s="241"/>
      <c r="H67" s="242"/>
    </row>
    <row r="68" spans="1:15" ht="17" thickBot="1" x14ac:dyDescent="0.4">
      <c r="A68" s="252" t="s">
        <v>318</v>
      </c>
      <c r="B68" s="101"/>
      <c r="C68" s="101"/>
      <c r="D68" s="101"/>
      <c r="E68" s="101"/>
      <c r="F68" s="101"/>
      <c r="G68" s="113"/>
      <c r="H68" s="35"/>
    </row>
    <row r="69" spans="1:15" s="266" customFormat="1" ht="24.5" customHeight="1" thickTop="1" x14ac:dyDescent="0.35">
      <c r="A69" s="263" t="s">
        <v>8</v>
      </c>
      <c r="B69" s="263" t="s">
        <v>9</v>
      </c>
      <c r="C69" s="263" t="s">
        <v>168</v>
      </c>
      <c r="D69" s="263" t="s">
        <v>14</v>
      </c>
      <c r="E69" s="263" t="s">
        <v>191</v>
      </c>
      <c r="F69" s="263" t="s">
        <v>368</v>
      </c>
      <c r="G69" s="264"/>
      <c r="H69" s="265"/>
    </row>
    <row r="70" spans="1:15" ht="15.5" x14ac:dyDescent="0.35">
      <c r="A70" s="95">
        <v>31</v>
      </c>
      <c r="B70" s="95" t="s">
        <v>17</v>
      </c>
      <c r="C70" s="99">
        <f>C43/C17</f>
        <v>67.706996666180018</v>
      </c>
      <c r="D70" s="99">
        <f>D43/C17</f>
        <v>8.1547182257344739E-2</v>
      </c>
      <c r="E70" s="99">
        <f>E43/C17</f>
        <v>12.000454709500694</v>
      </c>
      <c r="F70" s="106">
        <f>SUM(C70:E70)</f>
        <v>79.788998557938044</v>
      </c>
      <c r="G70" s="113"/>
      <c r="H70" s="35"/>
    </row>
    <row r="71" spans="1:15" ht="15.5" x14ac:dyDescent="0.35">
      <c r="A71" s="95">
        <v>32</v>
      </c>
      <c r="B71" s="95" t="s">
        <v>18</v>
      </c>
      <c r="C71" s="99">
        <f t="shared" ref="C71:C92" si="4">C44/C18</f>
        <v>67.706996666180018</v>
      </c>
      <c r="D71" s="99">
        <f t="shared" ref="D71:D92" si="5">D44/C18</f>
        <v>7.2970394937450389E-2</v>
      </c>
      <c r="E71" s="99">
        <f t="shared" ref="E71:E92" si="6">E44/C18</f>
        <v>24.400489534376941</v>
      </c>
      <c r="F71" s="106">
        <f t="shared" ref="F71:F92" si="7">SUM(C71:E71)</f>
        <v>92.18045659549442</v>
      </c>
      <c r="G71" s="113"/>
      <c r="H71" s="35"/>
    </row>
    <row r="72" spans="1:15" ht="15.5" x14ac:dyDescent="0.35">
      <c r="A72" s="95">
        <v>33</v>
      </c>
      <c r="B72" s="95" t="s">
        <v>19</v>
      </c>
      <c r="C72" s="99">
        <f t="shared" si="4"/>
        <v>67.706996666180018</v>
      </c>
      <c r="D72" s="99">
        <f t="shared" si="5"/>
        <v>1.2204398483232026</v>
      </c>
      <c r="E72" s="99">
        <f t="shared" si="6"/>
        <v>24.893996861502082</v>
      </c>
      <c r="F72" s="106">
        <f t="shared" si="7"/>
        <v>93.821433376005302</v>
      </c>
      <c r="G72" s="113"/>
      <c r="H72" s="35"/>
    </row>
    <row r="73" spans="1:15" ht="15.5" x14ac:dyDescent="0.35">
      <c r="A73" s="95">
        <v>34</v>
      </c>
      <c r="B73" s="95" t="s">
        <v>20</v>
      </c>
      <c r="C73" s="99">
        <f t="shared" si="4"/>
        <v>67.706996666180018</v>
      </c>
      <c r="D73" s="99">
        <f t="shared" si="5"/>
        <v>4.2711340024167281</v>
      </c>
      <c r="E73" s="99">
        <f t="shared" si="6"/>
        <v>32.708564565279154</v>
      </c>
      <c r="F73" s="106">
        <f t="shared" si="7"/>
        <v>104.68669523387589</v>
      </c>
      <c r="G73" s="113"/>
      <c r="H73" s="35"/>
    </row>
    <row r="74" spans="1:15" ht="15.5" x14ac:dyDescent="0.35">
      <c r="A74" s="95">
        <v>35</v>
      </c>
      <c r="B74" s="95" t="s">
        <v>21</v>
      </c>
      <c r="C74" s="99">
        <f t="shared" si="4"/>
        <v>67.706996666180018</v>
      </c>
      <c r="D74" s="99">
        <f t="shared" si="5"/>
        <v>0.64197559980557328</v>
      </c>
      <c r="E74" s="99">
        <f t="shared" si="6"/>
        <v>31.738156051336553</v>
      </c>
      <c r="F74" s="106">
        <f t="shared" si="7"/>
        <v>100.08712831732214</v>
      </c>
      <c r="G74" s="113"/>
      <c r="H74" s="35"/>
    </row>
    <row r="75" spans="1:15" ht="15.5" x14ac:dyDescent="0.35">
      <c r="A75" s="95">
        <v>2</v>
      </c>
      <c r="B75" s="95" t="s">
        <v>22</v>
      </c>
      <c r="C75" s="99">
        <f t="shared" si="4"/>
        <v>67.706996666180018</v>
      </c>
      <c r="D75" s="99">
        <f t="shared" si="5"/>
        <v>3.2169912747453426</v>
      </c>
      <c r="E75" s="99">
        <f t="shared" si="6"/>
        <v>30.511195099050717</v>
      </c>
      <c r="F75" s="106">
        <f t="shared" si="7"/>
        <v>101.43518303997607</v>
      </c>
      <c r="G75" s="113"/>
      <c r="H75" s="35"/>
    </row>
    <row r="76" spans="1:15" ht="15.5" x14ac:dyDescent="0.35">
      <c r="A76" s="95">
        <v>4</v>
      </c>
      <c r="B76" s="95" t="s">
        <v>23</v>
      </c>
      <c r="C76" s="99">
        <f t="shared" si="4"/>
        <v>67.706996666180018</v>
      </c>
      <c r="D76" s="99">
        <f t="shared" si="5"/>
        <v>4.1727866486375955</v>
      </c>
      <c r="E76" s="99">
        <f t="shared" si="6"/>
        <v>45.448339004162833</v>
      </c>
      <c r="F76" s="106">
        <f t="shared" si="7"/>
        <v>117.32812231898045</v>
      </c>
      <c r="G76" s="113"/>
      <c r="H76" s="35"/>
    </row>
    <row r="77" spans="1:15" ht="15.5" x14ac:dyDescent="0.35">
      <c r="A77" s="95">
        <v>5</v>
      </c>
      <c r="B77" s="95" t="s">
        <v>24</v>
      </c>
      <c r="C77" s="99">
        <f t="shared" si="4"/>
        <v>67.706996666180018</v>
      </c>
      <c r="D77" s="99">
        <f t="shared" si="5"/>
        <v>2.5879692824677689</v>
      </c>
      <c r="E77" s="99">
        <f t="shared" si="6"/>
        <v>37.662174029137354</v>
      </c>
      <c r="F77" s="106">
        <f t="shared" si="7"/>
        <v>107.95713997778515</v>
      </c>
      <c r="G77" s="113"/>
      <c r="H77" s="35"/>
    </row>
    <row r="78" spans="1:15" ht="15.5" x14ac:dyDescent="0.35">
      <c r="A78" s="95">
        <v>6</v>
      </c>
      <c r="B78" s="95" t="s">
        <v>25</v>
      </c>
      <c r="C78" s="99">
        <f t="shared" si="4"/>
        <v>67.706996666180018</v>
      </c>
      <c r="D78" s="99">
        <f t="shared" si="5"/>
        <v>2.2165312137696156</v>
      </c>
      <c r="E78" s="99">
        <f t="shared" si="6"/>
        <v>30.934520802216859</v>
      </c>
      <c r="F78" s="106">
        <f t="shared" si="7"/>
        <v>100.8580486821665</v>
      </c>
      <c r="G78" s="113"/>
      <c r="H78" s="35"/>
    </row>
    <row r="79" spans="1:15" ht="15.5" x14ac:dyDescent="0.35">
      <c r="A79" s="95">
        <v>7</v>
      </c>
      <c r="B79" s="95" t="s">
        <v>26</v>
      </c>
      <c r="C79" s="99">
        <f t="shared" si="4"/>
        <v>67.706996666180018</v>
      </c>
      <c r="D79" s="99">
        <f t="shared" si="5"/>
        <v>2.6098236886201081</v>
      </c>
      <c r="E79" s="99">
        <f t="shared" si="6"/>
        <v>36.50619141163272</v>
      </c>
      <c r="F79" s="106">
        <f t="shared" si="7"/>
        <v>106.82301176643284</v>
      </c>
      <c r="G79" s="113"/>
      <c r="H79" s="35"/>
    </row>
    <row r="80" spans="1:15" ht="15.5" x14ac:dyDescent="0.35">
      <c r="A80" s="95">
        <v>8</v>
      </c>
      <c r="B80" s="95" t="s">
        <v>27</v>
      </c>
      <c r="C80" s="99">
        <f t="shared" si="4"/>
        <v>67.706996666180018</v>
      </c>
      <c r="D80" s="99">
        <f t="shared" si="5"/>
        <v>3.2796274627418529</v>
      </c>
      <c r="E80" s="99">
        <f t="shared" si="6"/>
        <v>47.332740134272825</v>
      </c>
      <c r="F80" s="106">
        <f t="shared" si="7"/>
        <v>118.3193642631947</v>
      </c>
      <c r="G80" s="113"/>
      <c r="H80" s="35"/>
    </row>
    <row r="81" spans="1:8" ht="15.5" x14ac:dyDescent="0.35">
      <c r="A81" s="95">
        <v>9</v>
      </c>
      <c r="B81" s="95" t="s">
        <v>28</v>
      </c>
      <c r="C81" s="99">
        <f t="shared" si="4"/>
        <v>67.706996666180018</v>
      </c>
      <c r="D81" s="99">
        <f t="shared" si="5"/>
        <v>4.2209702103566835</v>
      </c>
      <c r="E81" s="99">
        <f t="shared" si="6"/>
        <v>43.832322980089039</v>
      </c>
      <c r="F81" s="106">
        <f t="shared" si="7"/>
        <v>115.76028985662575</v>
      </c>
      <c r="G81" s="113"/>
      <c r="H81" s="35"/>
    </row>
    <row r="82" spans="1:8" ht="15.5" x14ac:dyDescent="0.35">
      <c r="A82" s="95">
        <v>10</v>
      </c>
      <c r="B82" s="95" t="s">
        <v>29</v>
      </c>
      <c r="C82" s="99">
        <f t="shared" si="4"/>
        <v>67.706996666180018</v>
      </c>
      <c r="D82" s="99">
        <f t="shared" si="5"/>
        <v>10.118326296952517</v>
      </c>
      <c r="E82" s="99">
        <f t="shared" si="6"/>
        <v>37.729208487916182</v>
      </c>
      <c r="F82" s="106">
        <f t="shared" si="7"/>
        <v>115.55453145104872</v>
      </c>
      <c r="G82" s="113"/>
      <c r="H82" s="35"/>
    </row>
    <row r="83" spans="1:8" ht="15.5" x14ac:dyDescent="0.35">
      <c r="A83" s="95">
        <v>11</v>
      </c>
      <c r="B83" s="95" t="s">
        <v>30</v>
      </c>
      <c r="C83" s="99">
        <f t="shared" si="4"/>
        <v>67.706996666180018</v>
      </c>
      <c r="D83" s="99">
        <f t="shared" si="5"/>
        <v>6.5288622523091053</v>
      </c>
      <c r="E83" s="99">
        <f t="shared" si="6"/>
        <v>35.149941131621702</v>
      </c>
      <c r="F83" s="106">
        <f t="shared" si="7"/>
        <v>109.38580005011083</v>
      </c>
      <c r="G83" s="113"/>
      <c r="H83" s="35"/>
    </row>
    <row r="84" spans="1:8" ht="15.5" x14ac:dyDescent="0.35">
      <c r="A84" s="95">
        <v>12</v>
      </c>
      <c r="B84" s="95" t="s">
        <v>31</v>
      </c>
      <c r="C84" s="99">
        <f t="shared" si="4"/>
        <v>67.706996666180018</v>
      </c>
      <c r="D84" s="99">
        <f t="shared" si="5"/>
        <v>10.847140116628218</v>
      </c>
      <c r="E84" s="99">
        <f t="shared" si="6"/>
        <v>36.845468454730067</v>
      </c>
      <c r="F84" s="106">
        <f t="shared" si="7"/>
        <v>115.3996052375383</v>
      </c>
      <c r="G84" s="113"/>
      <c r="H84" s="35"/>
    </row>
    <row r="85" spans="1:8" ht="15.5" x14ac:dyDescent="0.35">
      <c r="A85" s="95">
        <v>13</v>
      </c>
      <c r="B85" s="95" t="s">
        <v>32</v>
      </c>
      <c r="C85" s="99">
        <f t="shared" si="4"/>
        <v>67.706996666180018</v>
      </c>
      <c r="D85" s="99">
        <f t="shared" si="5"/>
        <v>5.3484411019921243</v>
      </c>
      <c r="E85" s="99">
        <f t="shared" si="6"/>
        <v>33.404859002730262</v>
      </c>
      <c r="F85" s="106">
        <f t="shared" si="7"/>
        <v>106.4602967709024</v>
      </c>
      <c r="G85" s="113"/>
      <c r="H85" s="35"/>
    </row>
    <row r="86" spans="1:8" ht="15.5" x14ac:dyDescent="0.35">
      <c r="A86" s="95">
        <v>14</v>
      </c>
      <c r="B86" s="95" t="s">
        <v>33</v>
      </c>
      <c r="C86" s="99">
        <f t="shared" si="4"/>
        <v>67.706996666180018</v>
      </c>
      <c r="D86" s="99">
        <f t="shared" si="5"/>
        <v>5.7920431639518952</v>
      </c>
      <c r="E86" s="99">
        <f t="shared" si="6"/>
        <v>42.95311428466951</v>
      </c>
      <c r="F86" s="106">
        <f t="shared" si="7"/>
        <v>116.45215411480143</v>
      </c>
      <c r="G86" s="115"/>
      <c r="H86" s="37"/>
    </row>
    <row r="87" spans="1:8" ht="15.5" x14ac:dyDescent="0.35">
      <c r="A87" s="95">
        <v>15</v>
      </c>
      <c r="B87" s="95" t="s">
        <v>34</v>
      </c>
      <c r="C87" s="99">
        <f t="shared" si="4"/>
        <v>67.706996666180018</v>
      </c>
      <c r="D87" s="99">
        <f t="shared" si="5"/>
        <v>7.7195829469669315</v>
      </c>
      <c r="E87" s="99">
        <f t="shared" si="6"/>
        <v>32.662468906788156</v>
      </c>
      <c r="F87" s="106">
        <f t="shared" si="7"/>
        <v>108.08904851993512</v>
      </c>
      <c r="G87" s="114"/>
      <c r="H87" s="36"/>
    </row>
    <row r="88" spans="1:8" ht="15.5" x14ac:dyDescent="0.35">
      <c r="A88" s="95">
        <v>16</v>
      </c>
      <c r="B88" s="95" t="s">
        <v>35</v>
      </c>
      <c r="C88" s="99">
        <f t="shared" si="4"/>
        <v>67.706996666180018</v>
      </c>
      <c r="D88" s="99">
        <f t="shared" si="5"/>
        <v>7.335054081629476</v>
      </c>
      <c r="E88" s="99">
        <f t="shared" si="6"/>
        <v>35.185479507252474</v>
      </c>
      <c r="F88" s="106">
        <f t="shared" si="7"/>
        <v>110.22753025506196</v>
      </c>
      <c r="G88" s="115"/>
      <c r="H88" s="37"/>
    </row>
    <row r="89" spans="1:8" ht="15.5" x14ac:dyDescent="0.35">
      <c r="A89" s="95">
        <v>17</v>
      </c>
      <c r="B89" s="95" t="s">
        <v>36</v>
      </c>
      <c r="C89" s="99">
        <f t="shared" si="4"/>
        <v>67.706996666180018</v>
      </c>
      <c r="D89" s="99">
        <f t="shared" si="5"/>
        <v>8.4287328368583783</v>
      </c>
      <c r="E89" s="99">
        <f t="shared" si="6"/>
        <v>30.86027750009908</v>
      </c>
      <c r="F89" s="106">
        <f t="shared" si="7"/>
        <v>106.99600700313746</v>
      </c>
      <c r="G89" s="115"/>
      <c r="H89" s="37"/>
    </row>
    <row r="90" spans="1:8" ht="15.5" x14ac:dyDescent="0.35">
      <c r="A90" s="95">
        <v>18</v>
      </c>
      <c r="B90" s="95" t="s">
        <v>37</v>
      </c>
      <c r="C90" s="99">
        <f t="shared" si="4"/>
        <v>67.706996666180018</v>
      </c>
      <c r="D90" s="99">
        <f t="shared" si="5"/>
        <v>24.858367752568839</v>
      </c>
      <c r="E90" s="99">
        <f t="shared" si="6"/>
        <v>50.631396080223105</v>
      </c>
      <c r="F90" s="106">
        <f t="shared" si="7"/>
        <v>143.19676049897197</v>
      </c>
      <c r="G90" s="115"/>
      <c r="H90" s="37"/>
    </row>
    <row r="91" spans="1:8" ht="15.5" x14ac:dyDescent="0.35">
      <c r="A91" s="95">
        <v>19</v>
      </c>
      <c r="B91" s="95" t="s">
        <v>38</v>
      </c>
      <c r="C91" s="99">
        <f t="shared" si="4"/>
        <v>67.706996666180018</v>
      </c>
      <c r="D91" s="99">
        <f t="shared" si="5"/>
        <v>43.802718178531585</v>
      </c>
      <c r="E91" s="99">
        <f t="shared" si="6"/>
        <v>41.611378949569172</v>
      </c>
      <c r="F91" s="106">
        <f t="shared" si="7"/>
        <v>153.12109379428077</v>
      </c>
      <c r="G91" s="114"/>
      <c r="H91" s="36"/>
    </row>
    <row r="92" spans="1:8" ht="15.5" x14ac:dyDescent="0.35">
      <c r="A92" s="95"/>
      <c r="B92" s="95" t="s">
        <v>39</v>
      </c>
      <c r="C92" s="99">
        <f t="shared" si="4"/>
        <v>67.706996666180018</v>
      </c>
      <c r="D92" s="99">
        <f t="shared" si="5"/>
        <v>5.2082305127830786</v>
      </c>
      <c r="E92" s="99">
        <f t="shared" si="6"/>
        <v>31.249383076698468</v>
      </c>
      <c r="F92" s="106">
        <f t="shared" si="7"/>
        <v>104.16461025566156</v>
      </c>
      <c r="G92" s="42"/>
    </row>
    <row r="93" spans="1:8" ht="15.5" x14ac:dyDescent="0.35">
      <c r="A93" s="95"/>
      <c r="B93" s="257" t="s">
        <v>192</v>
      </c>
      <c r="C93" s="324">
        <v>0.64999999999999991</v>
      </c>
      <c r="D93" s="324">
        <v>5.000000000000001E-2</v>
      </c>
      <c r="E93" s="324">
        <v>0.30000000000000004</v>
      </c>
      <c r="F93" s="324">
        <v>1</v>
      </c>
      <c r="G93" s="42"/>
    </row>
    <row r="94" spans="1:8" ht="15.5" x14ac:dyDescent="0.35">
      <c r="A94" s="95"/>
      <c r="B94" s="103"/>
      <c r="C94" s="106"/>
      <c r="D94" s="106"/>
      <c r="E94" s="106"/>
      <c r="F94" s="106"/>
      <c r="G94" s="42"/>
    </row>
  </sheetData>
  <mergeCells count="1">
    <mergeCell ref="A3:D3"/>
  </mergeCells>
  <pageMargins left="0.7" right="0.7" top="0.75" bottom="0.75" header="0.3" footer="0.3"/>
  <tableParts count="5">
    <tablePart r:id="rId1"/>
    <tablePart r:id="rId2"/>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Q59"/>
  <sheetViews>
    <sheetView zoomScale="60" zoomScaleNormal="60" workbookViewId="0"/>
  </sheetViews>
  <sheetFormatPr defaultRowHeight="14" x14ac:dyDescent="0.3"/>
  <cols>
    <col min="1" max="1" width="20.25" customWidth="1"/>
    <col min="2" max="2" width="16.58203125" customWidth="1"/>
    <col min="3" max="3" width="19.33203125" customWidth="1"/>
    <col min="4" max="4" width="33.58203125" customWidth="1"/>
    <col min="5" max="5" width="27.6640625" customWidth="1"/>
    <col min="6" max="6" width="20.58203125" customWidth="1"/>
    <col min="7" max="7" width="17.75" customWidth="1"/>
    <col min="8" max="8" width="18.25" customWidth="1"/>
    <col min="9" max="9" width="20.33203125" customWidth="1"/>
    <col min="10" max="10" width="25.25" customWidth="1"/>
    <col min="11" max="11" width="17.08203125" customWidth="1"/>
    <col min="12" max="12" width="18" customWidth="1"/>
    <col min="13" max="13" width="12.58203125" customWidth="1"/>
    <col min="17" max="17" width="8.83203125" bestFit="1" customWidth="1"/>
  </cols>
  <sheetData>
    <row r="1" spans="1:14" ht="18" x14ac:dyDescent="0.4">
      <c r="A1" s="268" t="s">
        <v>7</v>
      </c>
      <c r="B1" s="5"/>
      <c r="C1" s="5"/>
      <c r="D1" s="5"/>
      <c r="E1" s="5"/>
      <c r="F1" s="5"/>
      <c r="G1" s="5"/>
      <c r="H1" s="5"/>
      <c r="I1" s="5"/>
      <c r="J1" s="6"/>
      <c r="K1" s="5"/>
      <c r="L1" s="5"/>
      <c r="M1" s="5"/>
      <c r="N1" s="5"/>
    </row>
    <row r="2" spans="1:14" x14ac:dyDescent="0.3">
      <c r="A2" t="str">
        <f>INFO!A2</f>
        <v>VM/KAO 23.9.2024</v>
      </c>
      <c r="B2" s="5"/>
      <c r="C2" s="5"/>
      <c r="D2" s="5"/>
      <c r="E2" s="5"/>
      <c r="F2" s="5"/>
      <c r="G2" s="5"/>
      <c r="H2" s="5"/>
      <c r="I2" s="5"/>
      <c r="J2" s="6"/>
      <c r="K2" s="5"/>
      <c r="L2" s="5"/>
      <c r="M2" s="5"/>
      <c r="N2" s="5"/>
    </row>
    <row r="3" spans="1:14" x14ac:dyDescent="0.3">
      <c r="B3" s="5"/>
      <c r="C3" s="5"/>
      <c r="D3" s="5"/>
      <c r="E3" s="5"/>
      <c r="F3" s="5"/>
      <c r="G3" s="5"/>
      <c r="H3" s="5"/>
      <c r="I3" s="5"/>
      <c r="J3" s="6"/>
      <c r="K3" s="5"/>
      <c r="L3" s="5"/>
      <c r="M3" s="5"/>
      <c r="N3" s="5"/>
    </row>
    <row r="4" spans="1:14" s="3" customFormat="1" ht="17" thickBot="1" x14ac:dyDescent="0.4">
      <c r="A4" s="252" t="s">
        <v>388</v>
      </c>
      <c r="B4" s="4"/>
      <c r="C4" s="4"/>
      <c r="D4" s="4"/>
      <c r="E4" s="7"/>
      <c r="F4" s="7"/>
      <c r="G4" s="7"/>
      <c r="H4" s="7"/>
      <c r="I4" s="7"/>
      <c r="J4" s="7"/>
      <c r="K4" s="2"/>
      <c r="L4" s="2"/>
      <c r="M4" s="2"/>
      <c r="N4" s="2"/>
    </row>
    <row r="5" spans="1:14" s="3" customFormat="1" ht="14.5" thickTop="1" x14ac:dyDescent="0.3">
      <c r="A5" s="357" t="s">
        <v>375</v>
      </c>
      <c r="B5" s="4"/>
      <c r="C5" s="7"/>
      <c r="D5" s="7"/>
      <c r="E5" s="7"/>
      <c r="F5" s="7"/>
      <c r="G5" s="7"/>
      <c r="H5" s="7"/>
      <c r="I5" s="7"/>
      <c r="J5" s="7"/>
      <c r="K5" s="2"/>
      <c r="L5" s="2"/>
      <c r="M5" s="2"/>
      <c r="N5" s="2"/>
    </row>
    <row r="6" spans="1:14" s="3" customFormat="1" ht="14.5" x14ac:dyDescent="0.35">
      <c r="A6" s="356" t="s">
        <v>404</v>
      </c>
      <c r="B6" s="4"/>
      <c r="C6" s="7"/>
      <c r="D6" s="7"/>
      <c r="E6" s="7"/>
      <c r="F6" s="7"/>
      <c r="G6" s="7"/>
      <c r="H6" s="7"/>
      <c r="I6" s="7"/>
      <c r="J6" s="7"/>
      <c r="K6" s="2"/>
      <c r="L6" s="2"/>
      <c r="M6" s="2"/>
      <c r="N6" s="2"/>
    </row>
    <row r="7" spans="1:14" s="3" customFormat="1" ht="62.5" customHeight="1" x14ac:dyDescent="0.3">
      <c r="A7" s="228" t="s">
        <v>8</v>
      </c>
      <c r="B7" s="228" t="s">
        <v>9</v>
      </c>
      <c r="C7" s="358" t="s">
        <v>40</v>
      </c>
      <c r="D7" s="13" t="s">
        <v>10</v>
      </c>
      <c r="E7" s="13" t="s">
        <v>11</v>
      </c>
      <c r="F7" s="13" t="s">
        <v>12</v>
      </c>
      <c r="G7" s="13" t="s">
        <v>13</v>
      </c>
      <c r="H7" s="13" t="s">
        <v>14</v>
      </c>
      <c r="I7" s="13" t="s">
        <v>15</v>
      </c>
      <c r="J7" s="233" t="s">
        <v>16</v>
      </c>
      <c r="K7" s="208"/>
      <c r="L7" s="2"/>
      <c r="M7" s="2"/>
      <c r="N7" s="2"/>
    </row>
    <row r="8" spans="1:14" s="3" customFormat="1" x14ac:dyDescent="0.3">
      <c r="A8" s="231">
        <v>31</v>
      </c>
      <c r="B8" s="15" t="s">
        <v>17</v>
      </c>
      <c r="C8" s="248">
        <v>674500</v>
      </c>
      <c r="D8" s="360">
        <v>36844</v>
      </c>
      <c r="E8" s="361"/>
      <c r="F8" s="248">
        <v>131878</v>
      </c>
      <c r="G8" s="248">
        <v>214.51</v>
      </c>
      <c r="H8" s="362">
        <f>C8/G8</f>
        <v>3144.3755535872456</v>
      </c>
      <c r="I8" s="363">
        <f>$H$30/H8</f>
        <v>5.8607628620505406E-3</v>
      </c>
      <c r="J8" s="248"/>
      <c r="K8" s="383"/>
      <c r="L8" s="2"/>
      <c r="M8" s="2"/>
      <c r="N8" s="2"/>
    </row>
    <row r="9" spans="1:14" s="3" customFormat="1" x14ac:dyDescent="0.3">
      <c r="A9" s="232">
        <v>32</v>
      </c>
      <c r="B9" s="19" t="s">
        <v>49</v>
      </c>
      <c r="C9" s="249">
        <v>285654</v>
      </c>
      <c r="D9" s="364">
        <v>5840</v>
      </c>
      <c r="E9" s="365"/>
      <c r="F9" s="249">
        <v>72777</v>
      </c>
      <c r="G9" s="249">
        <v>269.01</v>
      </c>
      <c r="H9" s="362">
        <f t="shared" ref="H9:H29" si="0">C9/G9</f>
        <v>1061.871305899409</v>
      </c>
      <c r="I9" s="366">
        <f t="shared" ref="I9:I30" si="1">$H$30/H9</f>
        <v>1.7354682593287311E-2</v>
      </c>
      <c r="J9" s="249"/>
      <c r="K9" s="8"/>
      <c r="L9" s="2"/>
      <c r="M9" s="2"/>
      <c r="N9" s="2"/>
    </row>
    <row r="10" spans="1:14" s="3" customFormat="1" x14ac:dyDescent="0.3">
      <c r="A10" s="232">
        <v>33</v>
      </c>
      <c r="B10" s="19" t="s">
        <v>19</v>
      </c>
      <c r="C10" s="249">
        <v>494952</v>
      </c>
      <c r="D10" s="364">
        <v>56511</v>
      </c>
      <c r="E10" s="365"/>
      <c r="F10" s="249">
        <v>88695</v>
      </c>
      <c r="G10" s="249">
        <v>4251.63</v>
      </c>
      <c r="H10" s="362">
        <f t="shared" si="0"/>
        <v>116.41464567706973</v>
      </c>
      <c r="I10" s="366">
        <f t="shared" si="1"/>
        <v>0.15830000908926531</v>
      </c>
      <c r="J10" s="249"/>
      <c r="K10" s="8"/>
      <c r="L10" s="2"/>
      <c r="M10" s="2"/>
      <c r="N10" s="2"/>
    </row>
    <row r="11" spans="1:14" s="3" customFormat="1" x14ac:dyDescent="0.3">
      <c r="A11" s="232">
        <v>34</v>
      </c>
      <c r="B11" s="19" t="s">
        <v>20</v>
      </c>
      <c r="C11" s="249">
        <v>98987</v>
      </c>
      <c r="D11" s="364">
        <v>27358</v>
      </c>
      <c r="E11" s="365"/>
      <c r="F11" s="249">
        <v>7269</v>
      </c>
      <c r="G11" s="249">
        <v>2702.52</v>
      </c>
      <c r="H11" s="362">
        <f t="shared" si="0"/>
        <v>36.627666030223644</v>
      </c>
      <c r="I11" s="366">
        <f t="shared" si="1"/>
        <v>0.50312895868378149</v>
      </c>
      <c r="J11" s="249"/>
      <c r="K11" s="8"/>
      <c r="L11" s="2"/>
      <c r="M11" s="2"/>
      <c r="N11" s="2"/>
    </row>
    <row r="12" spans="1:14" s="3" customFormat="1" x14ac:dyDescent="0.3">
      <c r="A12" s="232">
        <v>35</v>
      </c>
      <c r="B12" s="19" t="s">
        <v>21</v>
      </c>
      <c r="C12" s="249">
        <v>205444</v>
      </c>
      <c r="D12" s="364"/>
      <c r="E12" s="365"/>
      <c r="F12" s="249">
        <v>15739</v>
      </c>
      <c r="G12" s="249">
        <v>1669.1</v>
      </c>
      <c r="H12" s="362">
        <f t="shared" si="0"/>
        <v>123.08669342759572</v>
      </c>
      <c r="I12" s="366">
        <f t="shared" si="1"/>
        <v>0.14971918536136522</v>
      </c>
      <c r="J12" s="249"/>
      <c r="K12" s="9"/>
      <c r="L12" s="2"/>
      <c r="M12" s="2"/>
      <c r="N12" s="2"/>
    </row>
    <row r="13" spans="1:14" s="3" customFormat="1" x14ac:dyDescent="0.3">
      <c r="A13" s="19">
        <v>2</v>
      </c>
      <c r="B13" s="19" t="s">
        <v>22</v>
      </c>
      <c r="C13" s="249">
        <v>490786</v>
      </c>
      <c r="D13" s="364">
        <v>27498</v>
      </c>
      <c r="E13" s="365"/>
      <c r="F13" s="249">
        <v>49484</v>
      </c>
      <c r="G13" s="249">
        <v>10671.88</v>
      </c>
      <c r="H13" s="362">
        <f t="shared" si="0"/>
        <v>45.988710517734461</v>
      </c>
      <c r="I13" s="366">
        <f t="shared" si="1"/>
        <v>0.4007165946020001</v>
      </c>
      <c r="J13" s="249">
        <v>22096</v>
      </c>
      <c r="K13" s="8"/>
      <c r="L13" s="2"/>
      <c r="M13" s="2"/>
      <c r="N13" s="2"/>
    </row>
    <row r="14" spans="1:14" s="3" customFormat="1" x14ac:dyDescent="0.3">
      <c r="A14" s="19">
        <v>4</v>
      </c>
      <c r="B14" s="19" t="s">
        <v>23</v>
      </c>
      <c r="C14" s="249">
        <v>211740</v>
      </c>
      <c r="D14" s="364"/>
      <c r="E14" s="365"/>
      <c r="F14" s="249">
        <v>11188</v>
      </c>
      <c r="G14" s="249">
        <v>7823.26</v>
      </c>
      <c r="H14" s="362">
        <f t="shared" si="0"/>
        <v>27.065443306243175</v>
      </c>
      <c r="I14" s="366">
        <f t="shared" si="1"/>
        <v>0.68088444960193417</v>
      </c>
      <c r="J14" s="249"/>
      <c r="K14" s="8"/>
      <c r="L14" s="2"/>
      <c r="M14" s="2"/>
      <c r="N14" s="2"/>
    </row>
    <row r="15" spans="1:14" s="3" customFormat="1" x14ac:dyDescent="0.3">
      <c r="A15" s="19">
        <v>5</v>
      </c>
      <c r="B15" s="19" t="s">
        <v>24</v>
      </c>
      <c r="C15" s="249">
        <v>169547</v>
      </c>
      <c r="D15" s="364"/>
      <c r="E15" s="365"/>
      <c r="F15" s="249">
        <v>9725</v>
      </c>
      <c r="G15" s="249">
        <v>5199.4799999999996</v>
      </c>
      <c r="H15" s="362">
        <f t="shared" si="0"/>
        <v>32.608453153007609</v>
      </c>
      <c r="I15" s="366">
        <f t="shared" si="1"/>
        <v>0.56514301314240689</v>
      </c>
      <c r="J15" s="249"/>
      <c r="K15" s="8"/>
      <c r="L15" s="2"/>
      <c r="M15" s="2"/>
      <c r="N15" s="2"/>
    </row>
    <row r="16" spans="1:14" s="3" customFormat="1" x14ac:dyDescent="0.3">
      <c r="A16" s="19">
        <v>6</v>
      </c>
      <c r="B16" s="19" t="s">
        <v>25</v>
      </c>
      <c r="C16" s="249">
        <v>539309</v>
      </c>
      <c r="D16" s="364"/>
      <c r="E16" s="365"/>
      <c r="F16" s="249">
        <v>36426</v>
      </c>
      <c r="G16" s="249">
        <v>13248.86</v>
      </c>
      <c r="H16" s="362">
        <f t="shared" si="0"/>
        <v>40.706068295687324</v>
      </c>
      <c r="I16" s="366">
        <f t="shared" si="1"/>
        <v>0.45271971085343488</v>
      </c>
      <c r="J16" s="249"/>
      <c r="K16" s="8"/>
      <c r="L16" s="2"/>
      <c r="M16" s="2"/>
      <c r="N16" s="2"/>
    </row>
    <row r="17" spans="1:14" s="3" customFormat="1" x14ac:dyDescent="0.3">
      <c r="A17" s="19">
        <v>7</v>
      </c>
      <c r="B17" s="19" t="s">
        <v>26</v>
      </c>
      <c r="C17" s="249">
        <v>204479</v>
      </c>
      <c r="D17" s="364"/>
      <c r="E17" s="365"/>
      <c r="F17" s="249">
        <v>14366</v>
      </c>
      <c r="G17" s="249">
        <v>5715.3</v>
      </c>
      <c r="H17" s="362">
        <f t="shared" si="0"/>
        <v>35.777474498276554</v>
      </c>
      <c r="I17" s="366">
        <f t="shared" si="1"/>
        <v>0.51508497252066965</v>
      </c>
      <c r="J17" s="249"/>
      <c r="K17" s="8"/>
      <c r="L17" s="2"/>
      <c r="M17" s="2"/>
      <c r="N17" s="2"/>
    </row>
    <row r="18" spans="1:14" s="3" customFormat="1" x14ac:dyDescent="0.3">
      <c r="A18" s="19">
        <v>8</v>
      </c>
      <c r="B18" s="19" t="s">
        <v>27</v>
      </c>
      <c r="C18" s="249">
        <v>158658</v>
      </c>
      <c r="D18" s="364">
        <v>1179</v>
      </c>
      <c r="E18" s="365"/>
      <c r="F18" s="249">
        <v>11575</v>
      </c>
      <c r="G18" s="249">
        <v>4559.43</v>
      </c>
      <c r="H18" s="362">
        <f t="shared" si="0"/>
        <v>34.797770773978321</v>
      </c>
      <c r="I18" s="366">
        <f t="shared" si="1"/>
        <v>0.52958678268506998</v>
      </c>
      <c r="J18" s="249"/>
      <c r="K18" s="8"/>
      <c r="L18" s="2"/>
      <c r="M18" s="2"/>
      <c r="N18" s="2"/>
    </row>
    <row r="19" spans="1:14" s="3" customFormat="1" x14ac:dyDescent="0.3">
      <c r="A19" s="19">
        <v>9</v>
      </c>
      <c r="B19" s="19" t="s">
        <v>28</v>
      </c>
      <c r="C19" s="249">
        <v>125162</v>
      </c>
      <c r="D19" s="364"/>
      <c r="E19" s="365"/>
      <c r="F19" s="249">
        <v>10493</v>
      </c>
      <c r="G19" s="249">
        <v>5326.62</v>
      </c>
      <c r="H19" s="362">
        <f t="shared" si="0"/>
        <v>23.49745241823145</v>
      </c>
      <c r="I19" s="366">
        <f t="shared" si="1"/>
        <v>0.78427393492688968</v>
      </c>
      <c r="J19" s="249"/>
      <c r="K19" s="8"/>
      <c r="L19" s="2"/>
      <c r="M19" s="2"/>
      <c r="N19" s="2"/>
    </row>
    <row r="20" spans="1:14" s="3" customFormat="1" x14ac:dyDescent="0.3">
      <c r="A20" s="19">
        <v>10</v>
      </c>
      <c r="B20" s="19" t="s">
        <v>29</v>
      </c>
      <c r="C20" s="249">
        <v>129914</v>
      </c>
      <c r="D20" s="364"/>
      <c r="E20" s="365"/>
      <c r="F20" s="249">
        <v>6300</v>
      </c>
      <c r="G20" s="249">
        <v>12652.16</v>
      </c>
      <c r="H20" s="362">
        <f t="shared" si="0"/>
        <v>10.268128129900349</v>
      </c>
      <c r="I20" s="366">
        <f t="shared" si="1"/>
        <v>1.7947223910403798</v>
      </c>
      <c r="J20" s="249">
        <v>5662</v>
      </c>
      <c r="K20" s="8"/>
      <c r="L20" s="2"/>
      <c r="M20" s="2"/>
      <c r="N20" s="2"/>
    </row>
    <row r="21" spans="1:14" s="3" customFormat="1" x14ac:dyDescent="0.3">
      <c r="A21" s="19">
        <v>11</v>
      </c>
      <c r="B21" s="19" t="s">
        <v>30</v>
      </c>
      <c r="C21" s="249">
        <v>248190</v>
      </c>
      <c r="D21" s="364"/>
      <c r="E21" s="365"/>
      <c r="F21" s="249">
        <v>11129</v>
      </c>
      <c r="G21" s="249">
        <v>17346</v>
      </c>
      <c r="H21" s="362">
        <f t="shared" si="0"/>
        <v>14.308197855413352</v>
      </c>
      <c r="I21" s="366">
        <f t="shared" si="1"/>
        <v>1.2879637013008971</v>
      </c>
      <c r="J21" s="249"/>
      <c r="K21" s="8"/>
      <c r="L21" s="2"/>
      <c r="M21" s="2"/>
      <c r="N21" s="2"/>
    </row>
    <row r="22" spans="1:14" s="3" customFormat="1" x14ac:dyDescent="0.3">
      <c r="A22" s="19">
        <v>12</v>
      </c>
      <c r="B22" s="19" t="s">
        <v>31</v>
      </c>
      <c r="C22" s="249">
        <v>162321</v>
      </c>
      <c r="D22" s="364"/>
      <c r="E22" s="365"/>
      <c r="F22" s="249">
        <v>9301</v>
      </c>
      <c r="G22" s="249">
        <v>18794.16</v>
      </c>
      <c r="H22" s="362">
        <f t="shared" si="0"/>
        <v>8.6367786589025535</v>
      </c>
      <c r="I22" s="366">
        <f t="shared" si="1"/>
        <v>2.1337167706397349</v>
      </c>
      <c r="J22" s="249"/>
      <c r="K22" s="8"/>
      <c r="L22" s="2"/>
      <c r="M22" s="2"/>
      <c r="N22" s="2"/>
    </row>
    <row r="23" spans="1:14" s="3" customFormat="1" x14ac:dyDescent="0.3">
      <c r="A23" s="19">
        <v>13</v>
      </c>
      <c r="B23" s="19" t="s">
        <v>32</v>
      </c>
      <c r="C23" s="249">
        <v>273271</v>
      </c>
      <c r="D23" s="364"/>
      <c r="E23" s="365"/>
      <c r="F23" s="249">
        <v>13067</v>
      </c>
      <c r="G23" s="249">
        <v>16042.53</v>
      </c>
      <c r="H23" s="362">
        <f t="shared" si="0"/>
        <v>17.034158577231896</v>
      </c>
      <c r="I23" s="366">
        <f t="shared" si="1"/>
        <v>1.0818520554009319</v>
      </c>
      <c r="J23" s="249"/>
      <c r="K23" s="8"/>
      <c r="L23" s="2"/>
      <c r="M23" s="2"/>
      <c r="N23" s="2"/>
    </row>
    <row r="24" spans="1:14" s="3" customFormat="1" x14ac:dyDescent="0.3">
      <c r="A24" s="19">
        <v>14</v>
      </c>
      <c r="B24" s="19" t="s">
        <v>33</v>
      </c>
      <c r="C24" s="249">
        <v>190539</v>
      </c>
      <c r="D24" s="364"/>
      <c r="E24" s="365"/>
      <c r="F24" s="249">
        <v>7133</v>
      </c>
      <c r="G24" s="249">
        <v>13798.46</v>
      </c>
      <c r="H24" s="362">
        <f t="shared" si="0"/>
        <v>13.808714885574188</v>
      </c>
      <c r="I24" s="366">
        <f t="shared" si="1"/>
        <v>1.3345513772650723</v>
      </c>
      <c r="J24" s="249"/>
      <c r="K24" s="8"/>
      <c r="L24" s="2"/>
      <c r="M24" s="2"/>
      <c r="N24" s="2"/>
    </row>
    <row r="25" spans="1:14" s="3" customFormat="1" x14ac:dyDescent="0.3">
      <c r="A25" s="19">
        <v>15</v>
      </c>
      <c r="B25" s="19" t="s">
        <v>34</v>
      </c>
      <c r="C25" s="249">
        <v>177602</v>
      </c>
      <c r="D25" s="364">
        <v>88629</v>
      </c>
      <c r="E25" s="365"/>
      <c r="F25" s="249">
        <v>17207</v>
      </c>
      <c r="G25" s="249">
        <v>7402.92</v>
      </c>
      <c r="H25" s="362">
        <f t="shared" si="0"/>
        <v>23.99080362883835</v>
      </c>
      <c r="I25" s="366">
        <f t="shared" si="1"/>
        <v>0.76814598434925607</v>
      </c>
      <c r="J25" s="249">
        <v>5413</v>
      </c>
      <c r="K25" s="8"/>
      <c r="L25" s="2"/>
      <c r="M25" s="2"/>
      <c r="N25" s="2"/>
    </row>
    <row r="26" spans="1:14" s="3" customFormat="1" x14ac:dyDescent="0.3">
      <c r="A26" s="19">
        <v>16</v>
      </c>
      <c r="B26" s="19" t="s">
        <v>35</v>
      </c>
      <c r="C26" s="249">
        <v>67736</v>
      </c>
      <c r="D26" s="364">
        <v>5984</v>
      </c>
      <c r="E26" s="365"/>
      <c r="F26" s="249">
        <v>2907</v>
      </c>
      <c r="G26" s="249">
        <v>5020.3999999999996</v>
      </c>
      <c r="H26" s="362">
        <f t="shared" si="0"/>
        <v>13.492152019759382</v>
      </c>
      <c r="I26" s="366">
        <f t="shared" si="1"/>
        <v>1.3658636103280719</v>
      </c>
      <c r="J26" s="249"/>
      <c r="K26" s="8"/>
      <c r="L26" s="2"/>
      <c r="M26" s="2"/>
      <c r="N26" s="2"/>
    </row>
    <row r="27" spans="1:14" s="3" customFormat="1" x14ac:dyDescent="0.3">
      <c r="A27" s="19">
        <v>17</v>
      </c>
      <c r="B27" s="19" t="s">
        <v>36</v>
      </c>
      <c r="C27" s="249">
        <v>418205</v>
      </c>
      <c r="D27" s="364"/>
      <c r="E27" s="365"/>
      <c r="F27" s="249">
        <v>17873</v>
      </c>
      <c r="G27" s="249">
        <v>36832.32</v>
      </c>
      <c r="H27" s="362">
        <f t="shared" si="0"/>
        <v>11.354294271987211</v>
      </c>
      <c r="I27" s="366">
        <f t="shared" si="1"/>
        <v>1.6230369785526459</v>
      </c>
      <c r="J27" s="249">
        <v>935</v>
      </c>
      <c r="K27" s="8"/>
      <c r="L27" s="2"/>
      <c r="M27" s="2"/>
      <c r="N27" s="2"/>
    </row>
    <row r="28" spans="1:14" s="3" customFormat="1" x14ac:dyDescent="0.3">
      <c r="A28" s="19">
        <v>18</v>
      </c>
      <c r="B28" s="19" t="s">
        <v>37</v>
      </c>
      <c r="C28" s="249">
        <v>70164</v>
      </c>
      <c r="D28" s="364"/>
      <c r="E28" s="365"/>
      <c r="F28" s="249">
        <v>3621</v>
      </c>
      <c r="G28" s="249">
        <v>20198.45</v>
      </c>
      <c r="H28" s="362">
        <f t="shared" si="0"/>
        <v>3.4737318952691911</v>
      </c>
      <c r="I28" s="366">
        <f t="shared" si="1"/>
        <v>5.3050839916290249</v>
      </c>
      <c r="J28" s="249"/>
      <c r="K28" s="8"/>
      <c r="L28" s="2"/>
      <c r="M28" s="2"/>
      <c r="N28" s="2"/>
    </row>
    <row r="29" spans="1:14" s="3" customFormat="1" x14ac:dyDescent="0.3">
      <c r="A29" s="19">
        <v>19</v>
      </c>
      <c r="B29" s="19" t="s">
        <v>38</v>
      </c>
      <c r="C29" s="249">
        <v>176150</v>
      </c>
      <c r="D29" s="364"/>
      <c r="E29" s="249">
        <v>1554</v>
      </c>
      <c r="F29" s="249">
        <v>7097</v>
      </c>
      <c r="G29" s="249">
        <v>92690.84</v>
      </c>
      <c r="H29" s="362">
        <f t="shared" si="0"/>
        <v>1.900403535020289</v>
      </c>
      <c r="I29" s="366">
        <f t="shared" si="1"/>
        <v>9.6971191271789507</v>
      </c>
      <c r="J29" s="249"/>
      <c r="K29" s="8"/>
      <c r="L29" s="2"/>
      <c r="M29" s="2"/>
      <c r="N29" s="2"/>
    </row>
    <row r="30" spans="1:14" s="3" customFormat="1" x14ac:dyDescent="0.3">
      <c r="A30" s="19"/>
      <c r="B30" s="21" t="s">
        <v>39</v>
      </c>
      <c r="C30" s="250">
        <f>SUM(C8:C29)</f>
        <v>5573310</v>
      </c>
      <c r="D30" s="250">
        <f>SUM(D8:D29)</f>
        <v>249843</v>
      </c>
      <c r="E30" s="250">
        <f>SUM(E8:E29)</f>
        <v>1554</v>
      </c>
      <c r="F30" s="250">
        <f>SUM(F8:F29)</f>
        <v>555250</v>
      </c>
      <c r="G30" s="250">
        <f>SUM(G8:G29)</f>
        <v>302429.84000000003</v>
      </c>
      <c r="H30" s="367">
        <f t="shared" ref="H30" si="2">C30/G30</f>
        <v>18.428439468803738</v>
      </c>
      <c r="I30" s="368">
        <f t="shared" si="1"/>
        <v>1</v>
      </c>
      <c r="J30" s="250">
        <f>SUM(J8:J29)</f>
        <v>34106</v>
      </c>
      <c r="K30" s="8"/>
      <c r="L30" s="8"/>
      <c r="M30" s="8"/>
      <c r="N30" s="8"/>
    </row>
    <row r="31" spans="1:14" s="3" customFormat="1" x14ac:dyDescent="0.3">
      <c r="A31" s="147"/>
      <c r="B31" s="147"/>
      <c r="C31" s="148"/>
      <c r="D31" s="147"/>
      <c r="E31" s="147"/>
      <c r="F31" s="147"/>
      <c r="G31" s="147"/>
      <c r="H31" s="149"/>
      <c r="I31" s="148"/>
      <c r="J31" s="150"/>
      <c r="K31" s="8"/>
      <c r="L31" s="8"/>
      <c r="M31" s="8"/>
      <c r="N31" s="8"/>
    </row>
    <row r="32" spans="1:14" s="3" customFormat="1" ht="17" thickBot="1" x14ac:dyDescent="0.4">
      <c r="A32" s="345" t="s">
        <v>389</v>
      </c>
      <c r="B32" s="152"/>
      <c r="C32" s="153"/>
      <c r="D32" s="152"/>
      <c r="E32" s="152"/>
      <c r="F32" s="156"/>
      <c r="G32" s="152"/>
      <c r="H32" s="154"/>
      <c r="I32" s="153"/>
      <c r="J32" s="155"/>
      <c r="K32" s="151"/>
      <c r="L32" s="151"/>
      <c r="M32" s="151"/>
      <c r="N32" s="2"/>
    </row>
    <row r="33" spans="1:17" s="3" customFormat="1" ht="14.5" thickTop="1" x14ac:dyDescent="0.3">
      <c r="A33" s="417" t="s">
        <v>403</v>
      </c>
      <c r="B33" s="152"/>
      <c r="C33" s="153"/>
      <c r="D33" s="152"/>
      <c r="E33" s="152"/>
      <c r="F33" s="152"/>
      <c r="G33" s="152"/>
      <c r="H33" s="154"/>
      <c r="I33" s="153"/>
      <c r="J33" s="155"/>
      <c r="K33" s="151"/>
      <c r="L33" s="151"/>
      <c r="M33" s="151"/>
      <c r="N33" s="2"/>
    </row>
    <row r="34" spans="1:17" s="3" customFormat="1" ht="23.5" customHeight="1" x14ac:dyDescent="0.3">
      <c r="A34" s="228" t="s">
        <v>8</v>
      </c>
      <c r="B34" s="228" t="s">
        <v>9</v>
      </c>
      <c r="C34" s="228" t="s">
        <v>40</v>
      </c>
      <c r="D34" s="229" t="s">
        <v>310</v>
      </c>
      <c r="E34" s="230" t="s">
        <v>14</v>
      </c>
      <c r="F34" s="228" t="s">
        <v>41</v>
      </c>
      <c r="G34" s="229" t="s">
        <v>311</v>
      </c>
      <c r="H34" s="229" t="s">
        <v>312</v>
      </c>
      <c r="I34" s="229" t="s">
        <v>313</v>
      </c>
      <c r="J34" s="229" t="s">
        <v>314</v>
      </c>
      <c r="K34" s="229" t="s">
        <v>42</v>
      </c>
      <c r="L34" s="228" t="s">
        <v>43</v>
      </c>
      <c r="M34" s="228" t="s">
        <v>44</v>
      </c>
      <c r="N34" s="2"/>
    </row>
    <row r="35" spans="1:17" s="3" customFormat="1" x14ac:dyDescent="0.3">
      <c r="A35" s="14">
        <v>31</v>
      </c>
      <c r="B35" s="15" t="s">
        <v>17</v>
      </c>
      <c r="C35" s="146">
        <f>C8</f>
        <v>674500</v>
      </c>
      <c r="D35" s="248">
        <v>715.48</v>
      </c>
      <c r="E35" s="220">
        <f t="shared" ref="E35:E57" si="3">C35/D35</f>
        <v>942.72376586347627</v>
      </c>
      <c r="F35" s="221">
        <f t="shared" ref="F35:F57" si="4">$E$57/E35</f>
        <v>1.5657368094057159E-2</v>
      </c>
      <c r="G35" s="361">
        <v>122</v>
      </c>
      <c r="H35" s="361">
        <v>57</v>
      </c>
      <c r="I35" s="418">
        <v>1</v>
      </c>
      <c r="J35" s="418">
        <v>0</v>
      </c>
      <c r="K35" s="361">
        <f>SUM(G35:J35)</f>
        <v>180</v>
      </c>
      <c r="L35" s="15">
        <f t="shared" ref="L35:L57" si="5">K35/C35</f>
        <v>2.6686434395848779E-4</v>
      </c>
      <c r="M35" s="226">
        <f t="shared" ref="M35:M57" si="6">L35/$L$57</f>
        <v>0.38402213189446927</v>
      </c>
      <c r="N35" s="2"/>
      <c r="Q35" s="406"/>
    </row>
    <row r="36" spans="1:17" s="3" customFormat="1" x14ac:dyDescent="0.3">
      <c r="A36" s="18">
        <v>32</v>
      </c>
      <c r="B36" s="19" t="s">
        <v>49</v>
      </c>
      <c r="C36" s="16">
        <f t="shared" ref="C36:C57" si="7">C9</f>
        <v>285654</v>
      </c>
      <c r="D36" s="249">
        <v>271.14</v>
      </c>
      <c r="E36" s="222">
        <f t="shared" si="3"/>
        <v>1053.5295419340562</v>
      </c>
      <c r="F36" s="223">
        <f t="shared" si="4"/>
        <v>1.4010592418740277E-2</v>
      </c>
      <c r="G36" s="365">
        <v>43</v>
      </c>
      <c r="H36" s="365">
        <v>106</v>
      </c>
      <c r="I36" s="419">
        <v>1</v>
      </c>
      <c r="J36" s="419">
        <v>5</v>
      </c>
      <c r="K36" s="361">
        <f t="shared" ref="K36:K56" si="8">SUM(G36:J36)</f>
        <v>155</v>
      </c>
      <c r="L36" s="19">
        <f t="shared" si="5"/>
        <v>5.4261449165773977E-4</v>
      </c>
      <c r="M36" s="227">
        <f t="shared" si="6"/>
        <v>0.78083107991247036</v>
      </c>
      <c r="N36" s="2"/>
      <c r="Q36" s="406"/>
    </row>
    <row r="37" spans="1:17" s="3" customFormat="1" x14ac:dyDescent="0.3">
      <c r="A37" s="18">
        <v>33</v>
      </c>
      <c r="B37" s="19" t="s">
        <v>19</v>
      </c>
      <c r="C37" s="16">
        <f t="shared" si="7"/>
        <v>494952</v>
      </c>
      <c r="D37" s="249">
        <v>7857.5299999999988</v>
      </c>
      <c r="E37" s="222">
        <f t="shared" si="3"/>
        <v>62.990787181213442</v>
      </c>
      <c r="F37" s="223">
        <f t="shared" si="4"/>
        <v>0.23432907689622334</v>
      </c>
      <c r="G37" s="365">
        <v>57</v>
      </c>
      <c r="H37" s="365">
        <v>210</v>
      </c>
      <c r="I37" s="419">
        <v>2</v>
      </c>
      <c r="J37" s="419">
        <v>5</v>
      </c>
      <c r="K37" s="361">
        <f t="shared" si="8"/>
        <v>274</v>
      </c>
      <c r="L37" s="19">
        <f t="shared" si="5"/>
        <v>5.5358903489631322E-4</v>
      </c>
      <c r="M37" s="227">
        <f t="shared" si="6"/>
        <v>0.79662362614974735</v>
      </c>
      <c r="N37" s="2"/>
      <c r="Q37" s="406"/>
    </row>
    <row r="38" spans="1:17" s="3" customFormat="1" x14ac:dyDescent="0.3">
      <c r="A38" s="18">
        <v>34</v>
      </c>
      <c r="B38" s="19" t="s">
        <v>20</v>
      </c>
      <c r="C38" s="16">
        <f t="shared" si="7"/>
        <v>98987</v>
      </c>
      <c r="D38" s="249">
        <v>5499.56</v>
      </c>
      <c r="E38" s="222">
        <f t="shared" si="3"/>
        <v>17.999076289739541</v>
      </c>
      <c r="F38" s="223">
        <f t="shared" si="4"/>
        <v>0.82007391799069929</v>
      </c>
      <c r="G38" s="365">
        <v>5</v>
      </c>
      <c r="H38" s="365">
        <v>54</v>
      </c>
      <c r="I38" s="419">
        <v>5</v>
      </c>
      <c r="J38" s="419">
        <v>8</v>
      </c>
      <c r="K38" s="361">
        <f t="shared" si="8"/>
        <v>72</v>
      </c>
      <c r="L38" s="19">
        <f t="shared" si="5"/>
        <v>7.2736824027397535E-4</v>
      </c>
      <c r="M38" s="227">
        <f t="shared" si="6"/>
        <v>1.0466947294607152</v>
      </c>
      <c r="N38" s="2"/>
      <c r="Q38" s="406"/>
    </row>
    <row r="39" spans="1:17" s="3" customFormat="1" x14ac:dyDescent="0.3">
      <c r="A39" s="18">
        <v>35</v>
      </c>
      <c r="B39" s="19" t="s">
        <v>21</v>
      </c>
      <c r="C39" s="16">
        <f t="shared" si="7"/>
        <v>205444</v>
      </c>
      <c r="D39" s="249">
        <v>1715.61</v>
      </c>
      <c r="E39" s="222">
        <f t="shared" si="3"/>
        <v>119.7498265922908</v>
      </c>
      <c r="F39" s="223">
        <f t="shared" si="4"/>
        <v>0.12326174854010565</v>
      </c>
      <c r="G39" s="365">
        <v>18</v>
      </c>
      <c r="H39" s="365">
        <v>125</v>
      </c>
      <c r="I39" s="419">
        <v>0</v>
      </c>
      <c r="J39" s="419">
        <v>2</v>
      </c>
      <c r="K39" s="361">
        <f t="shared" si="8"/>
        <v>145</v>
      </c>
      <c r="L39" s="19">
        <f t="shared" si="5"/>
        <v>7.0578843869862349E-4</v>
      </c>
      <c r="M39" s="227">
        <f t="shared" si="6"/>
        <v>1.0156410439668022</v>
      </c>
      <c r="N39" s="2"/>
      <c r="Q39" s="406"/>
    </row>
    <row r="40" spans="1:17" s="3" customFormat="1" x14ac:dyDescent="0.3">
      <c r="A40" s="19">
        <v>2</v>
      </c>
      <c r="B40" s="19" t="s">
        <v>22</v>
      </c>
      <c r="C40" s="16">
        <f t="shared" si="7"/>
        <v>490786</v>
      </c>
      <c r="D40" s="249">
        <v>20537.55</v>
      </c>
      <c r="E40" s="222">
        <f t="shared" si="3"/>
        <v>23.897008163096377</v>
      </c>
      <c r="F40" s="223">
        <f t="shared" si="4"/>
        <v>0.61767451860081091</v>
      </c>
      <c r="G40" s="365">
        <v>47</v>
      </c>
      <c r="H40" s="365">
        <v>263</v>
      </c>
      <c r="I40" s="419">
        <v>6</v>
      </c>
      <c r="J40" s="419">
        <v>17</v>
      </c>
      <c r="K40" s="361">
        <f t="shared" si="8"/>
        <v>333</v>
      </c>
      <c r="L40" s="19">
        <f t="shared" si="5"/>
        <v>6.7850346179393871E-4</v>
      </c>
      <c r="M40" s="227">
        <f t="shared" si="6"/>
        <v>0.97637751837097253</v>
      </c>
      <c r="N40" s="2"/>
      <c r="Q40" s="406"/>
    </row>
    <row r="41" spans="1:17" s="3" customFormat="1" x14ac:dyDescent="0.3">
      <c r="A41" s="19">
        <v>4</v>
      </c>
      <c r="B41" s="19" t="s">
        <v>23</v>
      </c>
      <c r="C41" s="16">
        <f t="shared" si="7"/>
        <v>211740</v>
      </c>
      <c r="D41" s="249">
        <v>11493.06</v>
      </c>
      <c r="E41" s="222">
        <f t="shared" si="3"/>
        <v>18.423291969240569</v>
      </c>
      <c r="F41" s="223">
        <f t="shared" si="4"/>
        <v>0.8011908532842219</v>
      </c>
      <c r="G41" s="365">
        <v>14</v>
      </c>
      <c r="H41" s="365">
        <v>174</v>
      </c>
      <c r="I41" s="419">
        <v>11</v>
      </c>
      <c r="J41" s="419">
        <v>15</v>
      </c>
      <c r="K41" s="361">
        <f t="shared" si="8"/>
        <v>214</v>
      </c>
      <c r="L41" s="19">
        <f t="shared" si="5"/>
        <v>1.0106734674600925E-3</v>
      </c>
      <c r="M41" s="227">
        <f t="shared" si="6"/>
        <v>1.4543755597547141</v>
      </c>
      <c r="N41" s="2"/>
      <c r="Q41" s="406"/>
    </row>
    <row r="42" spans="1:17" s="3" customFormat="1" x14ac:dyDescent="0.3">
      <c r="A42" s="19">
        <v>5</v>
      </c>
      <c r="B42" s="19" t="s">
        <v>24</v>
      </c>
      <c r="C42" s="16">
        <f t="shared" si="7"/>
        <v>169547</v>
      </c>
      <c r="D42" s="249">
        <v>5707.63</v>
      </c>
      <c r="E42" s="222">
        <f t="shared" si="3"/>
        <v>29.705324276450995</v>
      </c>
      <c r="F42" s="223">
        <f t="shared" si="4"/>
        <v>0.49689991180610349</v>
      </c>
      <c r="G42" s="365">
        <v>12</v>
      </c>
      <c r="H42" s="365">
        <v>115</v>
      </c>
      <c r="I42" s="419">
        <v>4</v>
      </c>
      <c r="J42" s="419">
        <v>11</v>
      </c>
      <c r="K42" s="361">
        <f t="shared" si="8"/>
        <v>142</v>
      </c>
      <c r="L42" s="19">
        <f t="shared" si="5"/>
        <v>8.3752587778020257E-4</v>
      </c>
      <c r="M42" s="227">
        <f t="shared" si="6"/>
        <v>1.2052133617069922</v>
      </c>
      <c r="N42" s="2"/>
      <c r="Q42" s="406"/>
    </row>
    <row r="43" spans="1:17" s="3" customFormat="1" x14ac:dyDescent="0.3">
      <c r="A43" s="19">
        <v>6</v>
      </c>
      <c r="B43" s="19" t="s">
        <v>25</v>
      </c>
      <c r="C43" s="16">
        <f t="shared" si="7"/>
        <v>539309</v>
      </c>
      <c r="D43" s="249">
        <v>15549.560000000001</v>
      </c>
      <c r="E43" s="222">
        <f t="shared" si="3"/>
        <v>34.683232194351476</v>
      </c>
      <c r="F43" s="223">
        <f t="shared" si="4"/>
        <v>0.42558239469803849</v>
      </c>
      <c r="G43" s="365">
        <v>48</v>
      </c>
      <c r="H43" s="365">
        <v>277</v>
      </c>
      <c r="I43" s="419">
        <v>6</v>
      </c>
      <c r="J43" s="419">
        <v>40</v>
      </c>
      <c r="K43" s="361">
        <f t="shared" si="8"/>
        <v>371</v>
      </c>
      <c r="L43" s="19">
        <f t="shared" si="5"/>
        <v>6.8791731641786068E-4</v>
      </c>
      <c r="M43" s="227">
        <f t="shared" si="6"/>
        <v>0.98992420830488692</v>
      </c>
      <c r="N43" s="2"/>
      <c r="Q43" s="406"/>
    </row>
    <row r="44" spans="1:17" s="3" customFormat="1" x14ac:dyDescent="0.3">
      <c r="A44" s="19">
        <v>7</v>
      </c>
      <c r="B44" s="19" t="s">
        <v>26</v>
      </c>
      <c r="C44" s="16">
        <f t="shared" si="7"/>
        <v>204479</v>
      </c>
      <c r="D44" s="249">
        <v>6941.7100000000009</v>
      </c>
      <c r="E44" s="222">
        <f t="shared" si="3"/>
        <v>29.456574820901473</v>
      </c>
      <c r="F44" s="223">
        <f t="shared" si="4"/>
        <v>0.50109604062542124</v>
      </c>
      <c r="G44" s="365">
        <v>16</v>
      </c>
      <c r="H44" s="365">
        <v>141</v>
      </c>
      <c r="I44" s="419">
        <v>0</v>
      </c>
      <c r="J44" s="419">
        <v>9</v>
      </c>
      <c r="K44" s="361">
        <f t="shared" si="8"/>
        <v>166</v>
      </c>
      <c r="L44" s="19">
        <f t="shared" si="5"/>
        <v>8.1181930662806449E-4</v>
      </c>
      <c r="M44" s="227">
        <f t="shared" si="6"/>
        <v>1.1682211876641513</v>
      </c>
      <c r="N44" s="2"/>
      <c r="Q44" s="406"/>
    </row>
    <row r="45" spans="1:17" s="3" customFormat="1" x14ac:dyDescent="0.3">
      <c r="A45" s="19">
        <v>8</v>
      </c>
      <c r="B45" s="19" t="s">
        <v>27</v>
      </c>
      <c r="C45" s="16">
        <f t="shared" si="7"/>
        <v>158658</v>
      </c>
      <c r="D45" s="249">
        <v>6768.51</v>
      </c>
      <c r="E45" s="222">
        <f t="shared" si="3"/>
        <v>23.440609528537298</v>
      </c>
      <c r="F45" s="223">
        <f t="shared" si="4"/>
        <v>0.62970090411557955</v>
      </c>
      <c r="G45" s="365">
        <v>12</v>
      </c>
      <c r="H45" s="365">
        <v>129</v>
      </c>
      <c r="I45" s="419">
        <v>10</v>
      </c>
      <c r="J45" s="419">
        <v>16</v>
      </c>
      <c r="K45" s="361">
        <f t="shared" si="8"/>
        <v>167</v>
      </c>
      <c r="L45" s="19">
        <f t="shared" si="5"/>
        <v>1.0525785021870942E-3</v>
      </c>
      <c r="M45" s="227">
        <f t="shared" si="6"/>
        <v>1.5146775863734454</v>
      </c>
      <c r="N45" s="2"/>
      <c r="Q45" s="406"/>
    </row>
    <row r="46" spans="1:17" s="3" customFormat="1" x14ac:dyDescent="0.3">
      <c r="A46" s="19">
        <v>9</v>
      </c>
      <c r="B46" s="19" t="s">
        <v>28</v>
      </c>
      <c r="C46" s="16">
        <f t="shared" si="7"/>
        <v>125162</v>
      </c>
      <c r="D46" s="249">
        <v>6872.1299999999983</v>
      </c>
      <c r="E46" s="222">
        <f t="shared" si="3"/>
        <v>18.212984911519431</v>
      </c>
      <c r="F46" s="223">
        <f t="shared" si="4"/>
        <v>0.81044227977174521</v>
      </c>
      <c r="G46" s="365">
        <v>5</v>
      </c>
      <c r="H46" s="365">
        <v>96</v>
      </c>
      <c r="I46" s="419">
        <v>10</v>
      </c>
      <c r="J46" s="419">
        <v>11</v>
      </c>
      <c r="K46" s="361">
        <f t="shared" si="8"/>
        <v>122</v>
      </c>
      <c r="L46" s="19">
        <f t="shared" si="5"/>
        <v>9.7473674118342629E-4</v>
      </c>
      <c r="M46" s="227">
        <f t="shared" si="6"/>
        <v>1.402662026079267</v>
      </c>
      <c r="N46" s="2"/>
      <c r="Q46" s="406"/>
    </row>
    <row r="47" spans="1:17" s="3" customFormat="1" x14ac:dyDescent="0.3">
      <c r="A47" s="19">
        <v>10</v>
      </c>
      <c r="B47" s="19" t="s">
        <v>29</v>
      </c>
      <c r="C47" s="16">
        <f t="shared" si="7"/>
        <v>129914</v>
      </c>
      <c r="D47" s="249">
        <v>17099.02</v>
      </c>
      <c r="E47" s="222">
        <f t="shared" si="3"/>
        <v>7.5977453678631877</v>
      </c>
      <c r="F47" s="223">
        <f t="shared" si="4"/>
        <v>1.9427570020409242</v>
      </c>
      <c r="G47" s="365">
        <v>6</v>
      </c>
      <c r="H47" s="365">
        <v>97</v>
      </c>
      <c r="I47" s="419">
        <v>1</v>
      </c>
      <c r="J47" s="419">
        <v>5</v>
      </c>
      <c r="K47" s="361">
        <f t="shared" si="8"/>
        <v>109</v>
      </c>
      <c r="L47" s="19">
        <f t="shared" si="5"/>
        <v>8.3901658019920871E-4</v>
      </c>
      <c r="M47" s="227">
        <f t="shared" si="6"/>
        <v>1.2073585067363934</v>
      </c>
      <c r="N47" s="2"/>
      <c r="Q47" s="406"/>
    </row>
    <row r="48" spans="1:17" s="3" customFormat="1" x14ac:dyDescent="0.3">
      <c r="A48" s="19">
        <v>11</v>
      </c>
      <c r="B48" s="19" t="s">
        <v>30</v>
      </c>
      <c r="C48" s="16">
        <f t="shared" si="7"/>
        <v>248190</v>
      </c>
      <c r="D48" s="249">
        <v>21077.95</v>
      </c>
      <c r="E48" s="222">
        <f t="shared" si="3"/>
        <v>11.774864253876681</v>
      </c>
      <c r="F48" s="223">
        <f t="shared" si="4"/>
        <v>1.2535662997796793</v>
      </c>
      <c r="G48" s="365">
        <v>20</v>
      </c>
      <c r="H48" s="365">
        <v>133</v>
      </c>
      <c r="I48" s="419">
        <v>4</v>
      </c>
      <c r="J48" s="419">
        <v>37</v>
      </c>
      <c r="K48" s="361">
        <f t="shared" si="8"/>
        <v>194</v>
      </c>
      <c r="L48" s="19">
        <f t="shared" si="5"/>
        <v>7.8165921269994759E-4</v>
      </c>
      <c r="M48" s="227">
        <f t="shared" si="6"/>
        <v>1.1248203219036264</v>
      </c>
      <c r="N48" s="2"/>
      <c r="Q48" s="406"/>
    </row>
    <row r="49" spans="1:17" s="3" customFormat="1" x14ac:dyDescent="0.3">
      <c r="A49" s="19">
        <v>12</v>
      </c>
      <c r="B49" s="19" t="s">
        <v>31</v>
      </c>
      <c r="C49" s="16">
        <f t="shared" si="7"/>
        <v>162321</v>
      </c>
      <c r="D49" s="249">
        <v>22903.22</v>
      </c>
      <c r="E49" s="222">
        <f t="shared" si="3"/>
        <v>7.0872567263467756</v>
      </c>
      <c r="F49" s="223">
        <f t="shared" si="4"/>
        <v>2.0826920179521626</v>
      </c>
      <c r="G49" s="365">
        <v>7</v>
      </c>
      <c r="H49" s="365">
        <v>110</v>
      </c>
      <c r="I49" s="419">
        <v>3</v>
      </c>
      <c r="J49" s="419">
        <v>13</v>
      </c>
      <c r="K49" s="361">
        <f t="shared" si="8"/>
        <v>133</v>
      </c>
      <c r="L49" s="19">
        <f t="shared" si="5"/>
        <v>8.1936409953117589E-4</v>
      </c>
      <c r="M49" s="227">
        <f t="shared" si="6"/>
        <v>1.1790782673788014</v>
      </c>
      <c r="N49" s="2"/>
      <c r="Q49" s="406"/>
    </row>
    <row r="50" spans="1:17" s="3" customFormat="1" x14ac:dyDescent="0.3">
      <c r="A50" s="19">
        <v>13</v>
      </c>
      <c r="B50" s="19" t="s">
        <v>32</v>
      </c>
      <c r="C50" s="16">
        <f t="shared" si="7"/>
        <v>273271</v>
      </c>
      <c r="D50" s="249">
        <v>19011.98</v>
      </c>
      <c r="E50" s="222">
        <f t="shared" si="3"/>
        <v>14.373621264066131</v>
      </c>
      <c r="F50" s="223">
        <f t="shared" si="4"/>
        <v>1.026920964589588</v>
      </c>
      <c r="G50" s="365">
        <v>19</v>
      </c>
      <c r="H50" s="365">
        <v>160</v>
      </c>
      <c r="I50" s="419">
        <v>7</v>
      </c>
      <c r="J50" s="419">
        <v>17</v>
      </c>
      <c r="K50" s="361">
        <f t="shared" si="8"/>
        <v>203</v>
      </c>
      <c r="L50" s="19">
        <f t="shared" si="5"/>
        <v>7.4285233339798219E-4</v>
      </c>
      <c r="M50" s="227">
        <f t="shared" si="6"/>
        <v>1.068976591337544</v>
      </c>
      <c r="N50" s="2"/>
      <c r="Q50" s="406"/>
    </row>
    <row r="51" spans="1:17" s="3" customFormat="1" x14ac:dyDescent="0.3">
      <c r="A51" s="19">
        <v>14</v>
      </c>
      <c r="B51" s="19" t="s">
        <v>33</v>
      </c>
      <c r="C51" s="16">
        <f t="shared" si="7"/>
        <v>190539</v>
      </c>
      <c r="D51" s="249">
        <v>14355.630000000001</v>
      </c>
      <c r="E51" s="222">
        <f t="shared" si="3"/>
        <v>13.27277172788655</v>
      </c>
      <c r="F51" s="223">
        <f t="shared" si="4"/>
        <v>1.1120942419380071</v>
      </c>
      <c r="G51" s="365">
        <v>5</v>
      </c>
      <c r="H51" s="365">
        <v>160</v>
      </c>
      <c r="I51" s="419">
        <v>2</v>
      </c>
      <c r="J51" s="419">
        <v>15</v>
      </c>
      <c r="K51" s="361">
        <f t="shared" si="8"/>
        <v>182</v>
      </c>
      <c r="L51" s="19">
        <f t="shared" si="5"/>
        <v>9.5518502773710373E-4</v>
      </c>
      <c r="M51" s="227">
        <f t="shared" si="6"/>
        <v>1.3745267923928421</v>
      </c>
      <c r="N51" s="2"/>
      <c r="Q51" s="406"/>
    </row>
    <row r="52" spans="1:17" s="3" customFormat="1" x14ac:dyDescent="0.3">
      <c r="A52" s="19">
        <v>15</v>
      </c>
      <c r="B52" s="19" t="s">
        <v>34</v>
      </c>
      <c r="C52" s="16">
        <f t="shared" si="7"/>
        <v>177602</v>
      </c>
      <c r="D52" s="249">
        <v>17833.980000000003</v>
      </c>
      <c r="E52" s="222">
        <f t="shared" si="3"/>
        <v>9.9586295375457397</v>
      </c>
      <c r="F52" s="223">
        <f t="shared" si="4"/>
        <v>1.4821891865231371</v>
      </c>
      <c r="G52" s="365">
        <v>13</v>
      </c>
      <c r="H52" s="365">
        <v>104</v>
      </c>
      <c r="I52" s="419">
        <v>4</v>
      </c>
      <c r="J52" s="419">
        <v>8</v>
      </c>
      <c r="K52" s="361">
        <f t="shared" si="8"/>
        <v>129</v>
      </c>
      <c r="L52" s="19">
        <f t="shared" si="5"/>
        <v>7.2634317181112821E-4</v>
      </c>
      <c r="M52" s="227">
        <f t="shared" si="6"/>
        <v>1.0452196392684427</v>
      </c>
      <c r="N52" s="2"/>
      <c r="Q52" s="406"/>
    </row>
    <row r="53" spans="1:17" s="3" customFormat="1" x14ac:dyDescent="0.3">
      <c r="A53" s="19">
        <v>16</v>
      </c>
      <c r="B53" s="19" t="s">
        <v>35</v>
      </c>
      <c r="C53" s="16">
        <f t="shared" si="7"/>
        <v>67736</v>
      </c>
      <c r="D53" s="249">
        <v>6462.9299999999994</v>
      </c>
      <c r="E53" s="222">
        <f t="shared" si="3"/>
        <v>10.480695288359925</v>
      </c>
      <c r="F53" s="223">
        <f t="shared" si="4"/>
        <v>1.4083581868402948</v>
      </c>
      <c r="G53" s="365">
        <v>4</v>
      </c>
      <c r="H53" s="365">
        <v>45</v>
      </c>
      <c r="I53" s="419">
        <v>3</v>
      </c>
      <c r="J53" s="419">
        <v>1</v>
      </c>
      <c r="K53" s="361">
        <f t="shared" si="8"/>
        <v>53</v>
      </c>
      <c r="L53" s="19">
        <f t="shared" si="5"/>
        <v>7.8244950986181645E-4</v>
      </c>
      <c r="M53" s="227">
        <f t="shared" si="6"/>
        <v>1.1259575723748929</v>
      </c>
      <c r="N53" s="2"/>
      <c r="Q53" s="406"/>
    </row>
    <row r="54" spans="1:17" s="3" customFormat="1" x14ac:dyDescent="0.3">
      <c r="A54" s="19">
        <v>17</v>
      </c>
      <c r="B54" s="19" t="s">
        <v>36</v>
      </c>
      <c r="C54" s="16">
        <f t="shared" si="7"/>
        <v>418205</v>
      </c>
      <c r="D54" s="249">
        <v>45851.979999999996</v>
      </c>
      <c r="E54" s="222">
        <f t="shared" si="3"/>
        <v>9.1207620695987401</v>
      </c>
      <c r="F54" s="223">
        <f t="shared" si="4"/>
        <v>1.6183486533806251</v>
      </c>
      <c r="G54" s="365">
        <v>21</v>
      </c>
      <c r="H54" s="365">
        <v>249</v>
      </c>
      <c r="I54" s="419">
        <v>5</v>
      </c>
      <c r="J54" s="419">
        <v>12</v>
      </c>
      <c r="K54" s="361">
        <f t="shared" si="8"/>
        <v>287</v>
      </c>
      <c r="L54" s="19">
        <f t="shared" si="5"/>
        <v>6.862663048026685E-4</v>
      </c>
      <c r="M54" s="227">
        <f t="shared" si="6"/>
        <v>0.98754837573451082</v>
      </c>
      <c r="N54" s="2"/>
      <c r="Q54" s="406"/>
    </row>
    <row r="55" spans="1:17" s="3" customFormat="1" x14ac:dyDescent="0.3">
      <c r="A55" s="19">
        <v>18</v>
      </c>
      <c r="B55" s="19" t="s">
        <v>37</v>
      </c>
      <c r="C55" s="16">
        <f t="shared" si="7"/>
        <v>70164</v>
      </c>
      <c r="D55" s="249">
        <v>22687.86</v>
      </c>
      <c r="E55" s="222">
        <f t="shared" si="3"/>
        <v>3.0925790268451938</v>
      </c>
      <c r="F55" s="223">
        <f t="shared" si="4"/>
        <v>4.7729008329328879</v>
      </c>
      <c r="G55" s="365">
        <v>2</v>
      </c>
      <c r="H55" s="365">
        <v>55</v>
      </c>
      <c r="I55" s="419">
        <v>1</v>
      </c>
      <c r="J55" s="419">
        <v>21</v>
      </c>
      <c r="K55" s="361">
        <f t="shared" si="8"/>
        <v>79</v>
      </c>
      <c r="L55" s="19">
        <f t="shared" si="5"/>
        <v>1.1259335271649278E-3</v>
      </c>
      <c r="M55" s="227">
        <f t="shared" si="6"/>
        <v>1.6202366605431355</v>
      </c>
      <c r="N55" s="2"/>
      <c r="Q55" s="406"/>
    </row>
    <row r="56" spans="1:17" s="3" customFormat="1" x14ac:dyDescent="0.3">
      <c r="A56" s="19">
        <v>19</v>
      </c>
      <c r="B56" s="19" t="s">
        <v>38</v>
      </c>
      <c r="C56" s="16">
        <f t="shared" si="7"/>
        <v>176150</v>
      </c>
      <c r="D56" s="249">
        <v>100366.84999999999</v>
      </c>
      <c r="E56" s="222">
        <f t="shared" si="3"/>
        <v>1.755061556679322</v>
      </c>
      <c r="F56" s="223">
        <f t="shared" si="4"/>
        <v>8.4102879223610039</v>
      </c>
      <c r="G56" s="365">
        <v>7</v>
      </c>
      <c r="H56" s="365">
        <v>111</v>
      </c>
      <c r="I56" s="419">
        <v>8</v>
      </c>
      <c r="J56" s="419">
        <v>37</v>
      </c>
      <c r="K56" s="361">
        <f t="shared" si="8"/>
        <v>163</v>
      </c>
      <c r="L56" s="19">
        <f t="shared" si="5"/>
        <v>9.2534771501561169E-4</v>
      </c>
      <c r="M56" s="227">
        <f t="shared" si="6"/>
        <v>1.3315904140391579</v>
      </c>
      <c r="N56" s="2"/>
      <c r="Q56" s="406"/>
    </row>
    <row r="57" spans="1:17" s="3" customFormat="1" x14ac:dyDescent="0.3">
      <c r="A57" s="21" t="s">
        <v>39</v>
      </c>
      <c r="B57" s="21"/>
      <c r="C57" s="22">
        <f t="shared" si="7"/>
        <v>5573310</v>
      </c>
      <c r="D57" s="250">
        <v>377580.87</v>
      </c>
      <c r="E57" s="224">
        <f t="shared" si="3"/>
        <v>14.760573013140204</v>
      </c>
      <c r="F57" s="225">
        <f t="shared" si="4"/>
        <v>1</v>
      </c>
      <c r="G57" s="420">
        <f>SUM(G35:G56)</f>
        <v>503</v>
      </c>
      <c r="H57" s="420">
        <f t="shared" ref="H57:K57" si="9">SUM(H35:H56)</f>
        <v>2971</v>
      </c>
      <c r="I57" s="420">
        <f t="shared" si="9"/>
        <v>94</v>
      </c>
      <c r="J57" s="420">
        <f t="shared" si="9"/>
        <v>305</v>
      </c>
      <c r="K57" s="420">
        <f t="shared" si="9"/>
        <v>3873</v>
      </c>
      <c r="L57" s="21">
        <f t="shared" si="5"/>
        <v>6.9491917729320638E-4</v>
      </c>
      <c r="M57" s="225">
        <f t="shared" si="6"/>
        <v>1</v>
      </c>
      <c r="N57" s="2"/>
    </row>
    <row r="58" spans="1:17" x14ac:dyDescent="0.3">
      <c r="C58" s="204"/>
      <c r="D58" s="204"/>
    </row>
    <row r="59" spans="1:17" x14ac:dyDescent="0.3">
      <c r="D59" s="218"/>
      <c r="E59" s="219"/>
    </row>
  </sheetData>
  <pageMargins left="0.7" right="0.7" top="0.75" bottom="0.75" header="0.3" footer="0.3"/>
  <pageSetup paperSize="9" orientation="portrait" r:id="rId1"/>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Q31"/>
  <sheetViews>
    <sheetView zoomScale="65" zoomScaleNormal="80" workbookViewId="0"/>
  </sheetViews>
  <sheetFormatPr defaultRowHeight="14" x14ac:dyDescent="0.3"/>
  <cols>
    <col min="1" max="1" width="20.25" customWidth="1"/>
    <col min="2" max="2" width="23.6640625" customWidth="1"/>
    <col min="3" max="3" width="22.83203125" customWidth="1"/>
    <col min="4" max="4" width="23.9140625" customWidth="1"/>
    <col min="5" max="5" width="23.5" customWidth="1"/>
    <col min="6" max="6" width="23.6640625" customWidth="1"/>
    <col min="7" max="9" width="30.08203125" customWidth="1"/>
    <col min="10" max="10" width="26.25" customWidth="1"/>
    <col min="11" max="11" width="25.25" customWidth="1"/>
    <col min="12" max="12" width="26.6640625" customWidth="1"/>
    <col min="13" max="13" width="28.58203125" customWidth="1"/>
    <col min="14" max="14" width="28.25" customWidth="1"/>
    <col min="15" max="15" width="26.83203125" customWidth="1"/>
    <col min="16" max="16" width="24" customWidth="1"/>
  </cols>
  <sheetData>
    <row r="1" spans="1:17" ht="18" x14ac:dyDescent="0.4">
      <c r="A1" s="269" t="s">
        <v>45</v>
      </c>
      <c r="B1" s="23"/>
      <c r="C1" s="23"/>
      <c r="D1" s="23"/>
      <c r="E1" s="23"/>
      <c r="F1" s="23"/>
      <c r="G1" s="24"/>
      <c r="H1" s="23"/>
      <c r="I1" s="3"/>
      <c r="J1" s="3"/>
      <c r="K1" s="3"/>
      <c r="L1" s="3"/>
      <c r="M1" s="3"/>
      <c r="N1" s="3"/>
      <c r="O1" s="3"/>
      <c r="P1" s="3"/>
      <c r="Q1" s="3"/>
    </row>
    <row r="2" spans="1:17" x14ac:dyDescent="0.3">
      <c r="A2" t="str">
        <f>INFO!A2</f>
        <v>VM/KAO 23.9.2024</v>
      </c>
      <c r="B2" s="23"/>
      <c r="C2" s="23"/>
      <c r="D2" s="23"/>
      <c r="E2" s="23"/>
      <c r="F2" s="23"/>
      <c r="G2" s="24"/>
      <c r="H2" s="23"/>
      <c r="I2" s="3"/>
      <c r="J2" s="3"/>
      <c r="K2" s="3"/>
      <c r="L2" s="3"/>
      <c r="M2" s="3"/>
      <c r="N2" s="3"/>
      <c r="O2" s="3"/>
      <c r="P2" s="3"/>
      <c r="Q2" s="3"/>
    </row>
    <row r="3" spans="1:17" ht="27" customHeight="1" x14ac:dyDescent="0.3">
      <c r="A3" s="450" t="s">
        <v>410</v>
      </c>
      <c r="B3" s="450"/>
      <c r="C3" s="450"/>
      <c r="D3" s="450"/>
      <c r="E3" s="450"/>
      <c r="F3" s="450"/>
      <c r="H3" s="157"/>
      <c r="I3" s="3"/>
      <c r="J3" s="3"/>
      <c r="K3" s="3"/>
      <c r="L3" s="3"/>
      <c r="M3" s="3"/>
      <c r="N3" s="3"/>
      <c r="O3" s="3"/>
      <c r="P3" s="3"/>
      <c r="Q3" s="3"/>
    </row>
    <row r="4" spans="1:17" ht="60.5" customHeight="1" x14ac:dyDescent="0.3">
      <c r="A4" s="450" t="s">
        <v>419</v>
      </c>
      <c r="B4" s="450"/>
      <c r="C4" s="450"/>
      <c r="D4" s="450"/>
      <c r="E4" s="450"/>
      <c r="F4" s="450"/>
      <c r="H4" s="157"/>
      <c r="I4" s="3"/>
      <c r="J4" s="3"/>
      <c r="K4" s="3"/>
      <c r="L4" s="3"/>
      <c r="M4" s="3"/>
      <c r="N4" s="3"/>
      <c r="O4" s="3"/>
      <c r="P4" s="3"/>
      <c r="Q4" s="3"/>
    </row>
    <row r="5" spans="1:17" ht="18.5" customHeight="1" thickBot="1" x14ac:dyDescent="0.35">
      <c r="A5" s="359"/>
      <c r="B5" s="359"/>
      <c r="C5" s="359"/>
      <c r="D5" s="359"/>
      <c r="E5" s="359"/>
      <c r="F5" s="359"/>
      <c r="H5" s="157"/>
      <c r="I5" s="3"/>
      <c r="J5" s="3"/>
      <c r="K5" s="3"/>
      <c r="L5" s="3"/>
      <c r="M5" s="3"/>
      <c r="N5" s="3"/>
      <c r="O5" s="3"/>
      <c r="P5" s="3"/>
      <c r="Q5" s="3"/>
    </row>
    <row r="6" spans="1:17" ht="39.65" customHeight="1" x14ac:dyDescent="0.3">
      <c r="A6" s="337" t="s">
        <v>8</v>
      </c>
      <c r="B6" s="338" t="s">
        <v>9</v>
      </c>
      <c r="C6" s="338" t="s">
        <v>40</v>
      </c>
      <c r="D6" s="301" t="s">
        <v>338</v>
      </c>
      <c r="E6" s="301" t="s">
        <v>339</v>
      </c>
      <c r="F6" s="301" t="s">
        <v>340</v>
      </c>
      <c r="G6" s="301" t="s">
        <v>371</v>
      </c>
      <c r="H6" s="301" t="s">
        <v>372</v>
      </c>
      <c r="I6" s="301" t="s">
        <v>373</v>
      </c>
      <c r="J6" s="327" t="s">
        <v>46</v>
      </c>
      <c r="K6" s="328" t="s">
        <v>47</v>
      </c>
      <c r="L6" s="329" t="s">
        <v>48</v>
      </c>
      <c r="P6" s="438"/>
      <c r="Q6" s="3"/>
    </row>
    <row r="7" spans="1:17" x14ac:dyDescent="0.3">
      <c r="A7" s="339">
        <v>31</v>
      </c>
      <c r="B7" s="15" t="s">
        <v>17</v>
      </c>
      <c r="C7" s="16">
        <f>Määräytymistekijät!C8</f>
        <v>674500</v>
      </c>
      <c r="D7" s="11">
        <v>0.89156514292668942</v>
      </c>
      <c r="E7" s="11">
        <v>0.75811945228653621</v>
      </c>
      <c r="F7" s="11">
        <v>0.82359856366985662</v>
      </c>
      <c r="G7" s="17">
        <f t="shared" ref="G7:G28" si="0">D7*(C7/$C$29)</f>
        <v>0.10790009687314217</v>
      </c>
      <c r="H7" s="17">
        <f t="shared" ref="H7:H28" si="1">E7*(C7/$C$29)</f>
        <v>9.1750067835320248E-2</v>
      </c>
      <c r="I7" s="17">
        <f t="shared" ref="I7:I28" si="2">F7*(C7/$C$29)</f>
        <v>9.9674561651032917E-2</v>
      </c>
      <c r="J7" s="391">
        <f t="shared" ref="J7:J28" si="3">D7/$G$29</f>
        <v>0.89204443440242298</v>
      </c>
      <c r="K7" s="325">
        <f t="shared" ref="K7:K28" si="4">E7/$H$29</f>
        <v>0.75931679131262719</v>
      </c>
      <c r="L7" s="330">
        <f t="shared" ref="L7:L28" si="5">F7/$I$29</f>
        <v>0.82438416967737127</v>
      </c>
      <c r="P7" s="439"/>
      <c r="Q7" s="3"/>
    </row>
    <row r="8" spans="1:17" x14ac:dyDescent="0.3">
      <c r="A8" s="135">
        <v>32</v>
      </c>
      <c r="B8" s="19" t="s">
        <v>49</v>
      </c>
      <c r="C8" s="16">
        <f>Määräytymistekijät!C9</f>
        <v>285654</v>
      </c>
      <c r="D8" s="11">
        <v>0.91293607884250183</v>
      </c>
      <c r="E8" s="11">
        <v>0.61149700426489384</v>
      </c>
      <c r="F8" s="11">
        <v>0.87654037660181816</v>
      </c>
      <c r="G8" s="20">
        <f t="shared" si="0"/>
        <v>4.6791555227625237E-2</v>
      </c>
      <c r="H8" s="20">
        <f t="shared" si="1"/>
        <v>3.1341620196307755E-2</v>
      </c>
      <c r="I8" s="20">
        <f t="shared" si="2"/>
        <v>4.4926132717867072E-2</v>
      </c>
      <c r="J8" s="392">
        <f t="shared" si="3"/>
        <v>0.91342685899911769</v>
      </c>
      <c r="K8" s="326">
        <f t="shared" si="4"/>
        <v>0.6124627745341249</v>
      </c>
      <c r="L8" s="331">
        <f t="shared" si="5"/>
        <v>0.8773764822193646</v>
      </c>
      <c r="P8" s="439"/>
      <c r="Q8" s="3"/>
    </row>
    <row r="9" spans="1:17" x14ac:dyDescent="0.3">
      <c r="A9" s="135">
        <v>33</v>
      </c>
      <c r="B9" s="19" t="s">
        <v>19</v>
      </c>
      <c r="C9" s="16">
        <f>Määräytymistekijät!C10</f>
        <v>494952</v>
      </c>
      <c r="D9" s="11">
        <v>0.85099051753620558</v>
      </c>
      <c r="E9" s="11">
        <v>0.63662999103640494</v>
      </c>
      <c r="F9" s="11">
        <v>0.75069612396236141</v>
      </c>
      <c r="G9" s="20">
        <f t="shared" si="0"/>
        <v>7.5574381944585892E-2</v>
      </c>
      <c r="H9" s="20">
        <f t="shared" si="1"/>
        <v>5.6537549019065991E-2</v>
      </c>
      <c r="I9" s="20">
        <f t="shared" si="2"/>
        <v>6.6667482689356711E-2</v>
      </c>
      <c r="J9" s="392">
        <f t="shared" si="3"/>
        <v>0.85144799672796301</v>
      </c>
      <c r="K9" s="326">
        <f t="shared" si="4"/>
        <v>0.63763545519004039</v>
      </c>
      <c r="L9" s="331">
        <f t="shared" si="5"/>
        <v>0.75141219051567698</v>
      </c>
      <c r="P9" s="439"/>
      <c r="Q9" s="3"/>
    </row>
    <row r="10" spans="1:17" x14ac:dyDescent="0.3">
      <c r="A10" s="135">
        <v>34</v>
      </c>
      <c r="B10" s="19" t="s">
        <v>20</v>
      </c>
      <c r="C10" s="16">
        <f>Määräytymistekijät!C11</f>
        <v>98987</v>
      </c>
      <c r="D10" s="11">
        <v>0.97469832164397119</v>
      </c>
      <c r="E10" s="11">
        <v>0.92089243288534683</v>
      </c>
      <c r="F10" s="11">
        <v>0.82035168027845096</v>
      </c>
      <c r="G10" s="20">
        <f t="shared" si="0"/>
        <v>1.7311519144740158E-2</v>
      </c>
      <c r="H10" s="20">
        <f t="shared" si="1"/>
        <v>1.6355878150331099E-2</v>
      </c>
      <c r="I10" s="20">
        <f t="shared" si="2"/>
        <v>1.4570183925839945E-2</v>
      </c>
      <c r="J10" s="392">
        <f t="shared" si="3"/>
        <v>0.97522230421628464</v>
      </c>
      <c r="K10" s="326">
        <f t="shared" si="4"/>
        <v>0.92234684807730627</v>
      </c>
      <c r="L10" s="331">
        <f t="shared" si="5"/>
        <v>0.82113418918112535</v>
      </c>
      <c r="P10" s="439"/>
      <c r="Q10" s="3"/>
    </row>
    <row r="11" spans="1:17" x14ac:dyDescent="0.3">
      <c r="A11" s="135">
        <v>35</v>
      </c>
      <c r="B11" s="19" t="s">
        <v>21</v>
      </c>
      <c r="C11" s="16">
        <f>Määräytymistekijät!C12</f>
        <v>205444</v>
      </c>
      <c r="D11" s="11">
        <v>0.9194711688574192</v>
      </c>
      <c r="E11" s="11">
        <v>0.73607676995482163</v>
      </c>
      <c r="F11" s="11">
        <v>0.82806991326302259</v>
      </c>
      <c r="G11" s="20">
        <f t="shared" si="0"/>
        <v>3.3893652930618183E-2</v>
      </c>
      <c r="H11" s="20">
        <f t="shared" si="1"/>
        <v>2.7133347315437033E-2</v>
      </c>
      <c r="I11" s="20">
        <f t="shared" si="2"/>
        <v>3.0524409239824881E-2</v>
      </c>
      <c r="J11" s="392">
        <f t="shared" si="3"/>
        <v>0.91996546217621078</v>
      </c>
      <c r="K11" s="326">
        <f t="shared" si="4"/>
        <v>0.73723929578133585</v>
      </c>
      <c r="L11" s="331">
        <f t="shared" si="5"/>
        <v>0.82885978435702112</v>
      </c>
      <c r="P11" s="439"/>
      <c r="Q11" s="3"/>
    </row>
    <row r="12" spans="1:17" x14ac:dyDescent="0.3">
      <c r="A12" s="136">
        <v>2</v>
      </c>
      <c r="B12" s="19" t="s">
        <v>22</v>
      </c>
      <c r="C12" s="16">
        <f>Määräytymistekijät!C13</f>
        <v>490786</v>
      </c>
      <c r="D12" s="11">
        <v>1.0483395405939719</v>
      </c>
      <c r="E12" s="11">
        <v>1.0901438525629399</v>
      </c>
      <c r="F12" s="11">
        <v>1.0237817934526197</v>
      </c>
      <c r="G12" s="20">
        <f t="shared" si="0"/>
        <v>9.2316840400041109E-2</v>
      </c>
      <c r="H12" s="20">
        <f t="shared" si="1"/>
        <v>9.5998130522787176E-2</v>
      </c>
      <c r="I12" s="20">
        <f t="shared" si="2"/>
        <v>9.0154283770584695E-2</v>
      </c>
      <c r="J12" s="392">
        <f t="shared" si="3"/>
        <v>1.0489031115337595</v>
      </c>
      <c r="K12" s="326">
        <f t="shared" si="4"/>
        <v>1.0918655756697537</v>
      </c>
      <c r="L12" s="331">
        <f t="shared" si="5"/>
        <v>1.0247583482486076</v>
      </c>
      <c r="P12" s="439"/>
      <c r="Q12" s="3"/>
    </row>
    <row r="13" spans="1:17" x14ac:dyDescent="0.3">
      <c r="A13" s="136">
        <v>4</v>
      </c>
      <c r="B13" s="19" t="s">
        <v>23</v>
      </c>
      <c r="C13" s="16">
        <f>Määräytymistekijät!C14</f>
        <v>211740</v>
      </c>
      <c r="D13" s="11">
        <v>1.0544759118676708</v>
      </c>
      <c r="E13" s="11">
        <v>1.1809326587552562</v>
      </c>
      <c r="F13" s="11">
        <v>1.1110810066821595</v>
      </c>
      <c r="G13" s="20">
        <f t="shared" si="0"/>
        <v>4.0061423028480488E-2</v>
      </c>
      <c r="H13" s="20">
        <f t="shared" si="1"/>
        <v>4.4865740675619679E-2</v>
      </c>
      <c r="I13" s="20">
        <f t="shared" si="2"/>
        <v>4.221195166873553E-2</v>
      </c>
      <c r="J13" s="392">
        <f t="shared" si="3"/>
        <v>1.0550427816246752</v>
      </c>
      <c r="K13" s="326">
        <f t="shared" si="4"/>
        <v>1.1827977695306735</v>
      </c>
      <c r="L13" s="331">
        <f t="shared" si="5"/>
        <v>1.1121408335835026</v>
      </c>
      <c r="P13" s="439"/>
      <c r="Q13" s="3"/>
    </row>
    <row r="14" spans="1:17" x14ac:dyDescent="0.3">
      <c r="A14" s="136">
        <v>5</v>
      </c>
      <c r="B14" s="19" t="s">
        <v>24</v>
      </c>
      <c r="C14" s="16">
        <f>Määräytymistekijät!C15</f>
        <v>169547</v>
      </c>
      <c r="D14" s="11">
        <v>1.0492532703120985</v>
      </c>
      <c r="E14" s="11">
        <v>1.1208278332023311</v>
      </c>
      <c r="F14" s="11">
        <v>1.0112648750090694</v>
      </c>
      <c r="G14" s="20">
        <f t="shared" si="0"/>
        <v>3.1919585349030534E-2</v>
      </c>
      <c r="H14" s="20">
        <f t="shared" si="1"/>
        <v>3.409697229042627E-2</v>
      </c>
      <c r="I14" s="20">
        <f t="shared" si="2"/>
        <v>3.0763931265829946E-2</v>
      </c>
      <c r="J14" s="392">
        <f t="shared" si="3"/>
        <v>1.0498173324586908</v>
      </c>
      <c r="K14" s="326">
        <f t="shared" si="4"/>
        <v>1.1225980171781869</v>
      </c>
      <c r="L14" s="331">
        <f t="shared" si="5"/>
        <v>1.0122294902913687</v>
      </c>
      <c r="P14" s="439"/>
      <c r="Q14" s="3"/>
    </row>
    <row r="15" spans="1:17" x14ac:dyDescent="0.3">
      <c r="A15" s="136">
        <v>6</v>
      </c>
      <c r="B15" s="19" t="s">
        <v>25</v>
      </c>
      <c r="C15" s="16">
        <f>Määräytymistekijät!C16</f>
        <v>539309</v>
      </c>
      <c r="D15" s="11">
        <v>1.0213001181163404</v>
      </c>
      <c r="E15" s="11">
        <v>0.99451081112390127</v>
      </c>
      <c r="F15" s="11">
        <v>0.96029363015151548</v>
      </c>
      <c r="G15" s="20">
        <f t="shared" si="0"/>
        <v>9.8827509218257253E-2</v>
      </c>
      <c r="H15" s="20">
        <f t="shared" si="1"/>
        <v>9.6235205118039374E-2</v>
      </c>
      <c r="I15" s="20">
        <f t="shared" si="2"/>
        <v>9.2924132586090419E-2</v>
      </c>
      <c r="J15" s="392">
        <f t="shared" si="3"/>
        <v>1.0218491530855316</v>
      </c>
      <c r="K15" s="326">
        <f t="shared" si="4"/>
        <v>0.99608149579956373</v>
      </c>
      <c r="L15" s="331">
        <f t="shared" si="5"/>
        <v>0.96120962548966116</v>
      </c>
      <c r="P15" s="439"/>
      <c r="Q15" s="3"/>
    </row>
    <row r="16" spans="1:17" x14ac:dyDescent="0.3">
      <c r="A16" s="136">
        <v>7</v>
      </c>
      <c r="B16" s="19" t="s">
        <v>26</v>
      </c>
      <c r="C16" s="16">
        <f>Määräytymistekijät!C17</f>
        <v>204479</v>
      </c>
      <c r="D16" s="11">
        <v>1.0573450130702908</v>
      </c>
      <c r="E16" s="11">
        <v>1.1308861446891263</v>
      </c>
      <c r="F16" s="11">
        <v>1.0638769737220446</v>
      </c>
      <c r="G16" s="20">
        <f t="shared" si="0"/>
        <v>3.8792898820916119E-2</v>
      </c>
      <c r="H16" s="20">
        <f t="shared" si="1"/>
        <v>4.1491047147904539E-2</v>
      </c>
      <c r="I16" s="20">
        <f t="shared" si="2"/>
        <v>3.9032549725335569E-2</v>
      </c>
      <c r="J16" s="392">
        <f t="shared" si="3"/>
        <v>1.0579134252112259</v>
      </c>
      <c r="K16" s="326">
        <f t="shared" si="4"/>
        <v>1.1326722142999481</v>
      </c>
      <c r="L16" s="331">
        <f t="shared" si="5"/>
        <v>1.0648917741098554</v>
      </c>
      <c r="P16" s="439"/>
      <c r="Q16" s="3"/>
    </row>
    <row r="17" spans="1:17" x14ac:dyDescent="0.3">
      <c r="A17" s="136">
        <v>8</v>
      </c>
      <c r="B17" s="19" t="s">
        <v>27</v>
      </c>
      <c r="C17" s="16">
        <f>Määräytymistekijät!C18</f>
        <v>158658</v>
      </c>
      <c r="D17" s="11">
        <v>1.1384653986515851</v>
      </c>
      <c r="E17" s="11">
        <v>1.416258454055368</v>
      </c>
      <c r="F17" s="11">
        <v>1.1564403259479279</v>
      </c>
      <c r="G17" s="20">
        <f t="shared" si="0"/>
        <v>3.2409222386564393E-2</v>
      </c>
      <c r="H17" s="20">
        <f t="shared" si="1"/>
        <v>4.0317286101709142E-2</v>
      </c>
      <c r="I17" s="20">
        <f t="shared" si="2"/>
        <v>3.2920922976515991E-2</v>
      </c>
      <c r="J17" s="392">
        <f t="shared" si="3"/>
        <v>1.1390774198429925</v>
      </c>
      <c r="K17" s="326">
        <f t="shared" si="4"/>
        <v>1.4184952275782703</v>
      </c>
      <c r="L17" s="331">
        <f t="shared" si="5"/>
        <v>1.1575434197456498</v>
      </c>
      <c r="P17" s="439"/>
      <c r="Q17" s="3"/>
    </row>
    <row r="18" spans="1:17" x14ac:dyDescent="0.3">
      <c r="A18" s="136">
        <v>9</v>
      </c>
      <c r="B18" s="19" t="s">
        <v>28</v>
      </c>
      <c r="C18" s="16">
        <f>Määräytymistekijät!C19</f>
        <v>125162</v>
      </c>
      <c r="D18" s="11">
        <v>1.0164418770448733</v>
      </c>
      <c r="E18" s="11">
        <v>1.1877830566158472</v>
      </c>
      <c r="F18" s="11">
        <v>0.97743378408444814</v>
      </c>
      <c r="G18" s="20">
        <f t="shared" si="0"/>
        <v>2.2826632327053478E-2</v>
      </c>
      <c r="H18" s="20">
        <f t="shared" si="1"/>
        <v>2.6674508134690633E-2</v>
      </c>
      <c r="I18" s="20">
        <f t="shared" si="2"/>
        <v>2.1950612344114662E-2</v>
      </c>
      <c r="J18" s="392">
        <f t="shared" si="3"/>
        <v>1.0169883002996531</v>
      </c>
      <c r="K18" s="326">
        <f t="shared" si="4"/>
        <v>1.1896589865948584</v>
      </c>
      <c r="L18" s="331">
        <f t="shared" si="5"/>
        <v>0.97836612890217456</v>
      </c>
      <c r="P18" s="439"/>
      <c r="Q18" s="3"/>
    </row>
    <row r="19" spans="1:17" x14ac:dyDescent="0.3">
      <c r="A19" s="136">
        <v>10</v>
      </c>
      <c r="B19" s="19" t="s">
        <v>29</v>
      </c>
      <c r="C19" s="16">
        <f>Määräytymistekijät!C20</f>
        <v>129914</v>
      </c>
      <c r="D19" s="11">
        <v>1.1396786317322491</v>
      </c>
      <c r="E19" s="11">
        <v>1.4750973511486627</v>
      </c>
      <c r="F19" s="11">
        <v>1.1956489209106902</v>
      </c>
      <c r="G19" s="20">
        <f t="shared" si="0"/>
        <v>2.6565938331595301E-2</v>
      </c>
      <c r="H19" s="20">
        <f t="shared" si="1"/>
        <v>3.4384557341530862E-2</v>
      </c>
      <c r="I19" s="20">
        <f t="shared" si="2"/>
        <v>2.7870607217468864E-2</v>
      </c>
      <c r="J19" s="392">
        <f t="shared" si="3"/>
        <v>1.1402913051387844</v>
      </c>
      <c r="K19" s="326">
        <f t="shared" si="4"/>
        <v>1.4774270521218891</v>
      </c>
      <c r="L19" s="331">
        <f t="shared" si="5"/>
        <v>1.1967894146130593</v>
      </c>
      <c r="P19" s="439"/>
      <c r="Q19" s="3"/>
    </row>
    <row r="20" spans="1:17" x14ac:dyDescent="0.3">
      <c r="A20" s="136">
        <v>11</v>
      </c>
      <c r="B20" s="19" t="s">
        <v>30</v>
      </c>
      <c r="C20" s="16">
        <f>Määräytymistekijät!C21</f>
        <v>248190</v>
      </c>
      <c r="D20" s="11">
        <v>1.1002037396699853</v>
      </c>
      <c r="E20" s="11">
        <v>1.2149130539413637</v>
      </c>
      <c r="F20" s="11">
        <v>1.1832653129707686</v>
      </c>
      <c r="G20" s="20">
        <f t="shared" si="0"/>
        <v>4.8994146413656098E-2</v>
      </c>
      <c r="H20" s="20">
        <f t="shared" si="1"/>
        <v>5.4102368405437175E-2</v>
      </c>
      <c r="I20" s="20">
        <f t="shared" si="2"/>
        <v>5.269303484396437E-2</v>
      </c>
      <c r="J20" s="392">
        <f t="shared" si="3"/>
        <v>1.1007951919919805</v>
      </c>
      <c r="K20" s="326">
        <f t="shared" si="4"/>
        <v>1.2168318317914824</v>
      </c>
      <c r="L20" s="331">
        <f t="shared" si="5"/>
        <v>1.1843939943203468</v>
      </c>
      <c r="P20" s="439"/>
      <c r="Q20" s="3"/>
    </row>
    <row r="21" spans="1:17" x14ac:dyDescent="0.3">
      <c r="A21" s="136">
        <v>12</v>
      </c>
      <c r="B21" s="19" t="s">
        <v>31</v>
      </c>
      <c r="C21" s="16">
        <f>Määräytymistekijät!C22</f>
        <v>162321</v>
      </c>
      <c r="D21" s="11">
        <v>1.1698130770311377</v>
      </c>
      <c r="E21" s="11">
        <v>1.309325861820015</v>
      </c>
      <c r="F21" s="11">
        <v>1.2627908997645836</v>
      </c>
      <c r="G21" s="20">
        <f t="shared" si="0"/>
        <v>3.407045875373365E-2</v>
      </c>
      <c r="H21" s="20">
        <f t="shared" si="1"/>
        <v>3.8133727213538575E-2</v>
      </c>
      <c r="I21" s="20">
        <f t="shared" si="2"/>
        <v>3.6778410251840823E-2</v>
      </c>
      <c r="J21" s="392">
        <f t="shared" si="3"/>
        <v>1.1704419502441281</v>
      </c>
      <c r="K21" s="326">
        <f t="shared" si="4"/>
        <v>1.3113937509204714</v>
      </c>
      <c r="L21" s="331">
        <f t="shared" si="5"/>
        <v>1.2639954381900385</v>
      </c>
      <c r="P21" s="439"/>
      <c r="Q21" s="3"/>
    </row>
    <row r="22" spans="1:17" x14ac:dyDescent="0.3">
      <c r="A22" s="136">
        <v>13</v>
      </c>
      <c r="B22" s="19" t="s">
        <v>32</v>
      </c>
      <c r="C22" s="16">
        <f>Määräytymistekijät!C23</f>
        <v>273271</v>
      </c>
      <c r="D22" s="11">
        <v>0.97043312652258262</v>
      </c>
      <c r="E22" s="11">
        <v>1.0133199023131423</v>
      </c>
      <c r="F22" s="11">
        <v>1.0169666177877283</v>
      </c>
      <c r="G22" s="20">
        <f t="shared" si="0"/>
        <v>4.7582357865963432E-2</v>
      </c>
      <c r="H22" s="20">
        <f t="shared" si="1"/>
        <v>4.968518582763469E-2</v>
      </c>
      <c r="I22" s="20">
        <f t="shared" si="2"/>
        <v>4.9863991884440358E-2</v>
      </c>
      <c r="J22" s="392">
        <f t="shared" si="3"/>
        <v>0.9709548161927114</v>
      </c>
      <c r="K22" s="326">
        <f t="shared" si="4"/>
        <v>1.01492029320312</v>
      </c>
      <c r="L22" s="331">
        <f t="shared" si="5"/>
        <v>1.0179366717917275</v>
      </c>
      <c r="P22" s="439"/>
      <c r="Q22" s="3"/>
    </row>
    <row r="23" spans="1:17" x14ac:dyDescent="0.3">
      <c r="A23" s="136">
        <v>14</v>
      </c>
      <c r="B23" s="19" t="s">
        <v>33</v>
      </c>
      <c r="C23" s="16">
        <f>Määräytymistekijät!C24</f>
        <v>190539</v>
      </c>
      <c r="D23" s="11">
        <v>1.0725562056474982</v>
      </c>
      <c r="E23" s="11">
        <v>1.2642767910890969</v>
      </c>
      <c r="F23" s="11">
        <v>1.0720867323913625</v>
      </c>
      <c r="G23" s="20">
        <f t="shared" si="0"/>
        <v>3.6668297092368567E-2</v>
      </c>
      <c r="H23" s="20">
        <f t="shared" si="1"/>
        <v>4.3222794981317279E-2</v>
      </c>
      <c r="I23" s="20">
        <f t="shared" si="2"/>
        <v>3.6652246852071357E-2</v>
      </c>
      <c r="J23" s="392">
        <f t="shared" si="3"/>
        <v>1.0731327950876421</v>
      </c>
      <c r="K23" s="326">
        <f t="shared" si="4"/>
        <v>1.2662735317573206</v>
      </c>
      <c r="L23" s="331">
        <f t="shared" si="5"/>
        <v>1.0731093638221296</v>
      </c>
      <c r="P23" s="439"/>
      <c r="Q23" s="3"/>
    </row>
    <row r="24" spans="1:17" x14ac:dyDescent="0.3">
      <c r="A24" s="136">
        <v>15</v>
      </c>
      <c r="B24" s="19" t="s">
        <v>34</v>
      </c>
      <c r="C24" s="16">
        <f>Määräytymistekijät!C25</f>
        <v>177602</v>
      </c>
      <c r="D24" s="11">
        <v>0.95088694595990719</v>
      </c>
      <c r="E24" s="11">
        <v>0.95661155847960799</v>
      </c>
      <c r="F24" s="11">
        <v>0.84429846734273639</v>
      </c>
      <c r="G24" s="20">
        <f t="shared" si="0"/>
        <v>3.0301458805695614E-2</v>
      </c>
      <c r="H24" s="20">
        <f t="shared" si="1"/>
        <v>3.0483882290612819E-2</v>
      </c>
      <c r="I24" s="20">
        <f t="shared" si="2"/>
        <v>2.6904854816438464E-2</v>
      </c>
      <c r="J24" s="392">
        <f t="shared" si="3"/>
        <v>0.95139812790909017</v>
      </c>
      <c r="K24" s="326">
        <f t="shared" si="4"/>
        <v>0.95812238681717776</v>
      </c>
      <c r="L24" s="331">
        <f t="shared" si="5"/>
        <v>0.84510381836851323</v>
      </c>
      <c r="P24" s="439"/>
      <c r="Q24" s="3"/>
    </row>
    <row r="25" spans="1:17" x14ac:dyDescent="0.3">
      <c r="A25" s="136">
        <v>16</v>
      </c>
      <c r="B25" s="19" t="s">
        <v>35</v>
      </c>
      <c r="C25" s="16">
        <f>Määräytymistekijät!C26</f>
        <v>67736</v>
      </c>
      <c r="D25" s="11">
        <v>1.0856138701168554</v>
      </c>
      <c r="E25" s="11">
        <v>1.1995876122545084</v>
      </c>
      <c r="F25" s="11">
        <v>1.182750932340392</v>
      </c>
      <c r="G25" s="20">
        <f t="shared" si="0"/>
        <v>1.3194159504178902E-2</v>
      </c>
      <c r="H25" s="20">
        <f t="shared" si="1"/>
        <v>1.4579355267098255E-2</v>
      </c>
      <c r="I25" s="20">
        <f t="shared" si="2"/>
        <v>1.4374728330742197E-2</v>
      </c>
      <c r="J25" s="392">
        <f t="shared" si="3"/>
        <v>1.0861974791531812</v>
      </c>
      <c r="K25" s="326">
        <f t="shared" si="4"/>
        <v>1.2014821858062563</v>
      </c>
      <c r="L25" s="331">
        <f t="shared" si="5"/>
        <v>1.1838791230376897</v>
      </c>
      <c r="P25" s="439"/>
      <c r="Q25" s="3"/>
    </row>
    <row r="26" spans="1:17" x14ac:dyDescent="0.3">
      <c r="A26" s="136">
        <v>17</v>
      </c>
      <c r="B26" s="19" t="s">
        <v>36</v>
      </c>
      <c r="C26" s="16">
        <f>Määräytymistekijät!C27</f>
        <v>418205</v>
      </c>
      <c r="D26" s="11">
        <v>0.98273028594001377</v>
      </c>
      <c r="E26" s="11">
        <v>0.97928061693777835</v>
      </c>
      <c r="F26" s="11">
        <v>1.1943448110595196</v>
      </c>
      <c r="G26" s="20">
        <f t="shared" si="0"/>
        <v>7.3741227247639804E-2</v>
      </c>
      <c r="H26" s="20">
        <f t="shared" si="1"/>
        <v>7.3482374102008238E-2</v>
      </c>
      <c r="I26" s="20">
        <f t="shared" si="2"/>
        <v>8.9620166778655114E-2</v>
      </c>
      <c r="J26" s="392">
        <f t="shared" si="3"/>
        <v>0.98325858637070362</v>
      </c>
      <c r="K26" s="326">
        <f t="shared" si="4"/>
        <v>0.98082724774459595</v>
      </c>
      <c r="L26" s="331">
        <f t="shared" si="5"/>
        <v>1.195484060810553</v>
      </c>
      <c r="P26" s="439"/>
      <c r="Q26" s="3"/>
    </row>
    <row r="27" spans="1:17" x14ac:dyDescent="0.3">
      <c r="A27" s="136">
        <v>18</v>
      </c>
      <c r="B27" s="19" t="s">
        <v>37</v>
      </c>
      <c r="C27" s="16">
        <f>Määräytymistekijät!C28</f>
        <v>70164</v>
      </c>
      <c r="D27" s="11">
        <v>1.1354194361113212</v>
      </c>
      <c r="E27" s="11">
        <v>1.4268367441448488</v>
      </c>
      <c r="F27" s="11">
        <v>1.2478566768460739</v>
      </c>
      <c r="G27" s="20">
        <f t="shared" si="0"/>
        <v>1.4294121323829958E-2</v>
      </c>
      <c r="H27" s="20">
        <f t="shared" si="1"/>
        <v>1.7962857496923581E-2</v>
      </c>
      <c r="I27" s="20">
        <f t="shared" si="2"/>
        <v>1.5709626034480034E-2</v>
      </c>
      <c r="J27" s="392">
        <f t="shared" si="3"/>
        <v>1.1360298198409093</v>
      </c>
      <c r="K27" s="326">
        <f t="shared" si="4"/>
        <v>1.4290902245330286</v>
      </c>
      <c r="L27" s="331">
        <f t="shared" si="5"/>
        <v>1.249046969963487</v>
      </c>
      <c r="P27" s="439"/>
      <c r="Q27" s="3"/>
    </row>
    <row r="28" spans="1:17" ht="14.5" thickBot="1" x14ac:dyDescent="0.35">
      <c r="A28" s="340">
        <v>19</v>
      </c>
      <c r="B28" s="341" t="s">
        <v>38</v>
      </c>
      <c r="C28" s="342">
        <f>Määräytymistekijät!C29</f>
        <v>176150</v>
      </c>
      <c r="D28" s="343">
        <v>1.1208387238132704</v>
      </c>
      <c r="E28" s="343">
        <v>1.2525687845090834</v>
      </c>
      <c r="F28" s="343">
        <v>1.337031765399386</v>
      </c>
      <c r="G28" s="344">
        <f t="shared" si="0"/>
        <v>3.5425221493099714E-2</v>
      </c>
      <c r="H28" s="344">
        <f t="shared" si="1"/>
        <v>3.9588680943869088E-2</v>
      </c>
      <c r="I28" s="344">
        <f t="shared" si="2"/>
        <v>4.225821737443311E-2</v>
      </c>
      <c r="J28" s="393">
        <f t="shared" si="3"/>
        <v>1.1214412691799862</v>
      </c>
      <c r="K28" s="333">
        <f t="shared" si="4"/>
        <v>1.2545470340897171</v>
      </c>
      <c r="L28" s="334">
        <f t="shared" si="5"/>
        <v>1.3383071199634533</v>
      </c>
      <c r="P28" s="439"/>
      <c r="Q28" s="3"/>
    </row>
    <row r="29" spans="1:17" s="171" customFormat="1" x14ac:dyDescent="0.3">
      <c r="A29" s="335"/>
      <c r="B29" s="335"/>
      <c r="C29" s="148">
        <f>SUM(C7:C28)</f>
        <v>5573310</v>
      </c>
      <c r="D29" s="434"/>
      <c r="E29" s="434"/>
      <c r="F29" s="434"/>
      <c r="G29" s="336">
        <f>SUM(G7:G28)</f>
        <v>0.99946270448281582</v>
      </c>
      <c r="H29" s="336">
        <f>SUM(H7:H28)</f>
        <v>0.99842313637760971</v>
      </c>
      <c r="I29" s="336">
        <f>SUM(I7:I28)</f>
        <v>0.99904703894566282</v>
      </c>
      <c r="J29" s="332"/>
      <c r="K29" s="332"/>
      <c r="L29" s="332"/>
      <c r="P29" s="332"/>
      <c r="Q29" s="170"/>
    </row>
    <row r="30" spans="1:17" s="171" customFormat="1" x14ac:dyDescent="0.3">
      <c r="A30" s="25"/>
      <c r="B30" s="172"/>
      <c r="C30" s="172"/>
      <c r="D30" s="172"/>
      <c r="E30" s="173"/>
      <c r="F30" s="172"/>
      <c r="G30" s="172"/>
      <c r="H30" s="172"/>
      <c r="I30" s="172"/>
      <c r="J30" s="172"/>
      <c r="K30" s="172"/>
      <c r="L30" s="172"/>
      <c r="M30" s="172"/>
      <c r="N30" s="172"/>
      <c r="O30" s="172"/>
      <c r="P30" s="172"/>
      <c r="Q30" s="170"/>
    </row>
    <row r="31" spans="1:17" x14ac:dyDescent="0.3">
      <c r="A31" s="12"/>
      <c r="B31" s="12"/>
      <c r="C31" s="12"/>
      <c r="D31" s="12"/>
      <c r="E31" s="12"/>
      <c r="F31" s="12"/>
      <c r="G31" s="12"/>
      <c r="H31" s="12"/>
      <c r="I31" s="12"/>
      <c r="J31" s="12"/>
      <c r="K31" s="12"/>
      <c r="L31" s="12"/>
      <c r="M31" s="12"/>
      <c r="N31" s="12"/>
      <c r="O31" s="12"/>
      <c r="P31" s="12"/>
    </row>
  </sheetData>
  <mergeCells count="2">
    <mergeCell ref="A3:F3"/>
    <mergeCell ref="A4:F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194"/>
  <sheetViews>
    <sheetView zoomScale="79" workbookViewId="0"/>
  </sheetViews>
  <sheetFormatPr defaultRowHeight="14" x14ac:dyDescent="0.3"/>
  <cols>
    <col min="1" max="1" width="34.75" customWidth="1"/>
    <col min="2" max="2" width="14.25" customWidth="1"/>
    <col min="4" max="4" width="32.75" customWidth="1"/>
    <col min="5" max="5" width="14.33203125" customWidth="1"/>
    <col min="7" max="7" width="33.25" customWidth="1"/>
    <col min="8" max="8" width="15.5" customWidth="1"/>
  </cols>
  <sheetData>
    <row r="1" spans="1:8" ht="18" x14ac:dyDescent="0.4">
      <c r="A1" s="268" t="s">
        <v>201</v>
      </c>
      <c r="B1" s="3"/>
      <c r="C1" s="3"/>
      <c r="D1" s="3"/>
      <c r="E1" s="159"/>
      <c r="F1" s="198"/>
      <c r="G1" s="3"/>
      <c r="H1" s="3"/>
    </row>
    <row r="2" spans="1:8" x14ac:dyDescent="0.3">
      <c r="A2" s="158" t="s">
        <v>204</v>
      </c>
      <c r="B2" s="3"/>
      <c r="C2" s="3"/>
      <c r="D2" s="3"/>
      <c r="F2" s="3"/>
      <c r="H2" s="3"/>
    </row>
    <row r="3" spans="1:8" x14ac:dyDescent="0.3">
      <c r="A3" s="158" t="s">
        <v>202</v>
      </c>
      <c r="B3" s="3"/>
      <c r="C3" s="3"/>
      <c r="D3" s="3"/>
      <c r="E3" s="3"/>
      <c r="F3" s="3"/>
      <c r="G3" s="3"/>
      <c r="H3" s="3"/>
    </row>
    <row r="4" spans="1:8" ht="14.5" thickBot="1" x14ac:dyDescent="0.35">
      <c r="A4" s="3"/>
      <c r="B4" s="3"/>
      <c r="C4" s="3"/>
      <c r="D4" s="3"/>
      <c r="E4" s="3"/>
      <c r="F4" s="3"/>
      <c r="G4" s="3"/>
      <c r="H4" s="3"/>
    </row>
    <row r="5" spans="1:8" ht="14.5" thickBot="1" x14ac:dyDescent="0.35">
      <c r="A5" s="26" t="s">
        <v>50</v>
      </c>
      <c r="B5" s="27" t="s">
        <v>51</v>
      </c>
      <c r="C5" s="3"/>
      <c r="D5" s="26" t="s">
        <v>52</v>
      </c>
      <c r="E5" s="27" t="s">
        <v>51</v>
      </c>
      <c r="F5" s="3"/>
      <c r="G5" s="188" t="s">
        <v>53</v>
      </c>
      <c r="H5" s="189" t="s">
        <v>51</v>
      </c>
    </row>
    <row r="6" spans="1:8" ht="14.5" thickBot="1" x14ac:dyDescent="0.35">
      <c r="A6" s="186" t="s">
        <v>205</v>
      </c>
      <c r="B6" s="187">
        <v>1.4145993569999999</v>
      </c>
      <c r="C6" s="3"/>
      <c r="D6" s="186" t="s">
        <v>206</v>
      </c>
      <c r="E6" s="187">
        <v>2.3114774809999998</v>
      </c>
      <c r="F6" s="3"/>
      <c r="G6" s="190" t="s">
        <v>203</v>
      </c>
      <c r="H6" s="191">
        <v>7.8393279999999996E-3</v>
      </c>
    </row>
    <row r="7" spans="1:8" ht="14.5" thickBot="1" x14ac:dyDescent="0.35">
      <c r="A7" s="186" t="s">
        <v>207</v>
      </c>
      <c r="B7" s="187">
        <v>0.90365364800000003</v>
      </c>
      <c r="C7" s="3"/>
      <c r="D7" s="186" t="s">
        <v>208</v>
      </c>
      <c r="E7" s="187">
        <v>2.3587004309999999</v>
      </c>
      <c r="F7" s="3"/>
      <c r="G7" s="190" t="s">
        <v>209</v>
      </c>
      <c r="H7" s="191">
        <v>6.9653892949999996</v>
      </c>
    </row>
    <row r="8" spans="1:8" ht="14.5" thickBot="1" x14ac:dyDescent="0.35">
      <c r="A8" s="186" t="s">
        <v>210</v>
      </c>
      <c r="B8" s="187">
        <v>1.0034076430000001</v>
      </c>
      <c r="C8" s="3"/>
      <c r="D8" s="186" t="s">
        <v>211</v>
      </c>
      <c r="E8" s="187">
        <v>2.5251351830000002</v>
      </c>
      <c r="F8" s="3"/>
      <c r="G8" s="190" t="s">
        <v>212</v>
      </c>
      <c r="H8" s="191">
        <v>6.9895841839999999</v>
      </c>
    </row>
    <row r="9" spans="1:8" ht="14.5" thickBot="1" x14ac:dyDescent="0.35">
      <c r="A9" s="186" t="s">
        <v>213</v>
      </c>
      <c r="B9" s="187">
        <v>1.2195660349999999</v>
      </c>
      <c r="C9" s="3"/>
      <c r="D9" s="186" t="s">
        <v>214</v>
      </c>
      <c r="E9" s="187">
        <v>3.0563532009999999</v>
      </c>
      <c r="F9" s="3"/>
      <c r="G9" s="190" t="s">
        <v>215</v>
      </c>
      <c r="H9" s="191">
        <v>7.0256288290000004</v>
      </c>
    </row>
    <row r="10" spans="1:8" ht="14.5" thickBot="1" x14ac:dyDescent="0.35">
      <c r="A10" s="186" t="s">
        <v>216</v>
      </c>
      <c r="B10" s="187">
        <v>1.020826596</v>
      </c>
      <c r="C10" s="3"/>
      <c r="D10" s="186" t="s">
        <v>217</v>
      </c>
      <c r="E10" s="187">
        <v>4.0246329540000003</v>
      </c>
      <c r="F10" s="3"/>
      <c r="G10" s="190" t="s">
        <v>218</v>
      </c>
      <c r="H10" s="191">
        <v>8.8021765009999999</v>
      </c>
    </row>
    <row r="11" spans="1:8" ht="14.5" thickBot="1" x14ac:dyDescent="0.35">
      <c r="A11" s="186" t="s">
        <v>219</v>
      </c>
      <c r="B11" s="187">
        <v>0.98560329099999999</v>
      </c>
      <c r="C11" s="3"/>
      <c r="D11" s="186" t="s">
        <v>220</v>
      </c>
      <c r="E11" s="187">
        <v>5.0617126609999996</v>
      </c>
      <c r="F11" s="3"/>
      <c r="G11" s="190" t="s">
        <v>221</v>
      </c>
      <c r="H11" s="191">
        <v>6.7179123220000001</v>
      </c>
    </row>
    <row r="12" spans="1:8" ht="14.5" thickBot="1" x14ac:dyDescent="0.35">
      <c r="A12" s="186" t="s">
        <v>222</v>
      </c>
      <c r="B12" s="187">
        <v>0.96095506399999997</v>
      </c>
      <c r="C12" s="3"/>
      <c r="D12" s="186" t="s">
        <v>223</v>
      </c>
      <c r="E12" s="187">
        <v>5.7374435400000001</v>
      </c>
      <c r="F12" s="3"/>
      <c r="G12" s="190" t="s">
        <v>224</v>
      </c>
      <c r="H12" s="191">
        <v>6.7265639249999998</v>
      </c>
    </row>
    <row r="13" spans="1:8" ht="14.5" thickBot="1" x14ac:dyDescent="0.35">
      <c r="A13" s="186" t="s">
        <v>225</v>
      </c>
      <c r="B13" s="187">
        <v>0.93700505499999998</v>
      </c>
      <c r="C13" s="3"/>
      <c r="D13" s="186" t="s">
        <v>226</v>
      </c>
      <c r="E13" s="187">
        <v>2.32779954</v>
      </c>
      <c r="F13" s="3"/>
      <c r="G13" s="190" t="s">
        <v>227</v>
      </c>
      <c r="H13" s="191">
        <v>6.8816574949999998</v>
      </c>
    </row>
    <row r="14" spans="1:8" ht="14.5" thickBot="1" x14ac:dyDescent="0.35">
      <c r="A14" s="186" t="s">
        <v>228</v>
      </c>
      <c r="B14" s="187">
        <v>0.90052346699999997</v>
      </c>
      <c r="C14" s="3"/>
      <c r="D14" s="186" t="s">
        <v>229</v>
      </c>
      <c r="E14" s="187">
        <v>2.3672283670000001</v>
      </c>
      <c r="F14" s="3"/>
      <c r="G14" s="190" t="s">
        <v>230</v>
      </c>
      <c r="H14" s="191">
        <v>6.957208885</v>
      </c>
    </row>
    <row r="15" spans="1:8" ht="14.5" thickBot="1" x14ac:dyDescent="0.35">
      <c r="A15" s="186" t="s">
        <v>231</v>
      </c>
      <c r="B15" s="187">
        <v>0.94724325600000003</v>
      </c>
      <c r="C15" s="3"/>
      <c r="D15" s="186" t="s">
        <v>232</v>
      </c>
      <c r="E15" s="187">
        <v>2.4070270640000002</v>
      </c>
      <c r="F15" s="3"/>
      <c r="G15" s="190" t="s">
        <v>233</v>
      </c>
      <c r="H15" s="191">
        <v>7.0029629409999998</v>
      </c>
    </row>
    <row r="16" spans="1:8" ht="14.5" thickBot="1" x14ac:dyDescent="0.35">
      <c r="A16" s="186" t="s">
        <v>234</v>
      </c>
      <c r="B16" s="187">
        <v>1.00038849</v>
      </c>
      <c r="C16" s="3"/>
      <c r="D16" s="186" t="s">
        <v>235</v>
      </c>
      <c r="E16" s="187">
        <v>2.6721377569999998</v>
      </c>
      <c r="F16" s="3"/>
      <c r="G16" s="190" t="s">
        <v>236</v>
      </c>
      <c r="H16" s="191">
        <v>7.0696916879999998</v>
      </c>
    </row>
    <row r="17" spans="1:8" ht="14.5" thickBot="1" x14ac:dyDescent="0.35">
      <c r="A17" s="186" t="s">
        <v>237</v>
      </c>
      <c r="B17" s="187">
        <v>0.96567817700000003</v>
      </c>
      <c r="C17" s="3"/>
      <c r="D17" s="186" t="s">
        <v>238</v>
      </c>
      <c r="E17" s="187">
        <v>3.3266804589999999</v>
      </c>
      <c r="F17" s="3"/>
      <c r="G17" s="190" t="s">
        <v>239</v>
      </c>
      <c r="H17" s="191">
        <v>7.1288464679999999</v>
      </c>
    </row>
    <row r="18" spans="1:8" ht="14.5" thickBot="1" x14ac:dyDescent="0.35">
      <c r="A18" s="186" t="s">
        <v>240</v>
      </c>
      <c r="B18" s="187">
        <v>0.97966629999999999</v>
      </c>
      <c r="C18" s="3"/>
      <c r="D18" s="186" t="s">
        <v>241</v>
      </c>
      <c r="E18" s="187">
        <v>4.1505045709999999</v>
      </c>
      <c r="F18" s="3"/>
      <c r="G18" s="190" t="s">
        <v>242</v>
      </c>
      <c r="H18" s="191">
        <v>7.0932056210000001</v>
      </c>
    </row>
    <row r="19" spans="1:8" ht="14.5" thickBot="1" x14ac:dyDescent="0.35">
      <c r="A19" s="186" t="s">
        <v>243</v>
      </c>
      <c r="B19" s="187">
        <v>1.0700920629999999</v>
      </c>
      <c r="C19" s="3"/>
      <c r="D19" s="186" t="s">
        <v>244</v>
      </c>
      <c r="E19" s="187">
        <v>4.4877224389999997</v>
      </c>
      <c r="F19" s="3"/>
      <c r="G19" s="190" t="s">
        <v>245</v>
      </c>
      <c r="H19" s="191">
        <v>6.9828234399999998</v>
      </c>
    </row>
    <row r="20" spans="1:8" ht="14.5" thickBot="1" x14ac:dyDescent="0.35">
      <c r="A20" s="186" t="s">
        <v>208</v>
      </c>
      <c r="B20" s="187">
        <v>1.2306156109999999</v>
      </c>
      <c r="C20" s="3"/>
      <c r="D20" s="186" t="s">
        <v>54</v>
      </c>
      <c r="E20" s="187">
        <v>0.67831545999999998</v>
      </c>
      <c r="F20" s="3"/>
      <c r="G20" s="190" t="s">
        <v>246</v>
      </c>
      <c r="H20" s="191">
        <v>7.0038401009999998</v>
      </c>
    </row>
    <row r="21" spans="1:8" ht="14.5" thickBot="1" x14ac:dyDescent="0.35">
      <c r="A21" s="186" t="s">
        <v>211</v>
      </c>
      <c r="B21" s="187">
        <v>1.250363149</v>
      </c>
      <c r="C21" s="3"/>
      <c r="D21" s="186" t="s">
        <v>55</v>
      </c>
      <c r="E21" s="187">
        <v>0.28944421300000001</v>
      </c>
      <c r="F21" s="3"/>
      <c r="G21" s="190" t="s">
        <v>247</v>
      </c>
      <c r="H21" s="191">
        <v>6.8111587719999998</v>
      </c>
    </row>
    <row r="22" spans="1:8" s="32" customFormat="1" ht="14.5" thickBot="1" x14ac:dyDescent="0.35">
      <c r="A22" s="186" t="s">
        <v>214</v>
      </c>
      <c r="B22" s="187">
        <v>1.3741422459999999</v>
      </c>
      <c r="C22" s="31"/>
      <c r="D22" s="186" t="s">
        <v>56</v>
      </c>
      <c r="E22" s="187">
        <v>0.11542516</v>
      </c>
      <c r="F22" s="31"/>
      <c r="G22" s="190" t="s">
        <v>248</v>
      </c>
      <c r="H22" s="191">
        <v>6.6362332930000001</v>
      </c>
    </row>
    <row r="23" spans="1:8" ht="14.5" thickBot="1" x14ac:dyDescent="0.35">
      <c r="A23" s="186" t="s">
        <v>217</v>
      </c>
      <c r="B23" s="187">
        <v>1.1178970349999999</v>
      </c>
      <c r="C23" s="3"/>
      <c r="D23" s="186" t="s">
        <v>57</v>
      </c>
      <c r="E23" s="187">
        <v>0.20051866700000001</v>
      </c>
      <c r="F23" s="3"/>
      <c r="G23" s="190" t="s">
        <v>249</v>
      </c>
      <c r="H23" s="191">
        <v>6.2585840130000001</v>
      </c>
    </row>
    <row r="24" spans="1:8" ht="14.5" thickBot="1" x14ac:dyDescent="0.35">
      <c r="A24" s="186" t="s">
        <v>220</v>
      </c>
      <c r="B24" s="187">
        <v>0.67381324399999998</v>
      </c>
      <c r="C24" s="3"/>
      <c r="D24" s="186" t="s">
        <v>58</v>
      </c>
      <c r="E24" s="187">
        <v>0.440444428</v>
      </c>
      <c r="F24" s="3"/>
      <c r="G24" s="190" t="s">
        <v>250</v>
      </c>
      <c r="H24" s="191">
        <v>5.740335258</v>
      </c>
    </row>
    <row r="25" spans="1:8" ht="14.5" thickBot="1" x14ac:dyDescent="0.35">
      <c r="A25" s="186" t="s">
        <v>223</v>
      </c>
      <c r="B25" s="187">
        <v>0.42386813800000001</v>
      </c>
      <c r="C25" s="3"/>
      <c r="D25" s="186" t="s">
        <v>59</v>
      </c>
      <c r="E25" s="187">
        <v>0.84605207599999999</v>
      </c>
      <c r="F25" s="3"/>
      <c r="G25" s="190" t="s">
        <v>251</v>
      </c>
      <c r="H25" s="191">
        <v>5.2555346639999998</v>
      </c>
    </row>
    <row r="26" spans="1:8" ht="14.5" thickBot="1" x14ac:dyDescent="0.35">
      <c r="A26" s="186" t="s">
        <v>252</v>
      </c>
      <c r="B26" s="187">
        <v>1.569821216</v>
      </c>
      <c r="C26" s="3"/>
      <c r="D26" s="186" t="s">
        <v>60</v>
      </c>
      <c r="E26" s="187">
        <v>1.5204589879999999</v>
      </c>
      <c r="F26" s="3"/>
      <c r="G26" s="190" t="s">
        <v>253</v>
      </c>
      <c r="H26" s="191">
        <v>6.9316212259999999</v>
      </c>
    </row>
    <row r="27" spans="1:8" ht="14.5" thickBot="1" x14ac:dyDescent="0.35">
      <c r="A27" s="186" t="s">
        <v>254</v>
      </c>
      <c r="B27" s="187">
        <v>0.99573749300000003</v>
      </c>
      <c r="C27" s="3"/>
      <c r="D27" s="186" t="s">
        <v>61</v>
      </c>
      <c r="E27" s="187">
        <v>0.72483695299999995</v>
      </c>
      <c r="F27" s="3"/>
      <c r="G27" s="190" t="s">
        <v>62</v>
      </c>
      <c r="H27" s="191">
        <v>1.7270621829999999</v>
      </c>
    </row>
    <row r="28" spans="1:8" ht="14.5" thickBot="1" x14ac:dyDescent="0.35">
      <c r="A28" s="186" t="s">
        <v>255</v>
      </c>
      <c r="B28" s="187">
        <v>1.0166063519999999</v>
      </c>
      <c r="C28" s="3"/>
      <c r="D28" s="186" t="s">
        <v>63</v>
      </c>
      <c r="E28" s="187">
        <v>0.13011701000000001</v>
      </c>
      <c r="F28" s="3"/>
      <c r="G28" s="190" t="s">
        <v>55</v>
      </c>
      <c r="H28" s="191">
        <v>1.0270140919999999</v>
      </c>
    </row>
    <row r="29" spans="1:8" ht="14.5" thickBot="1" x14ac:dyDescent="0.35">
      <c r="A29" s="186" t="s">
        <v>256</v>
      </c>
      <c r="B29" s="187">
        <v>0.93411561600000004</v>
      </c>
      <c r="C29" s="3"/>
      <c r="D29" s="186" t="s">
        <v>64</v>
      </c>
      <c r="E29" s="187">
        <v>0.753933772</v>
      </c>
      <c r="F29" s="3"/>
      <c r="G29" s="190" t="s">
        <v>59</v>
      </c>
      <c r="H29" s="191">
        <v>3.806210031</v>
      </c>
    </row>
    <row r="30" spans="1:8" ht="14.5" thickBot="1" x14ac:dyDescent="0.35">
      <c r="A30" s="186" t="s">
        <v>257</v>
      </c>
      <c r="B30" s="187">
        <v>0.92756834899999996</v>
      </c>
      <c r="C30" s="3"/>
      <c r="D30" s="186" t="s">
        <v>258</v>
      </c>
      <c r="E30" s="187">
        <v>3.9407874550000002</v>
      </c>
      <c r="F30" s="3"/>
      <c r="G30" s="190" t="s">
        <v>65</v>
      </c>
      <c r="H30" s="191">
        <v>6.1123107360000004</v>
      </c>
    </row>
    <row r="31" spans="1:8" ht="14.5" thickBot="1" x14ac:dyDescent="0.35">
      <c r="A31" s="186" t="s">
        <v>259</v>
      </c>
      <c r="B31" s="187">
        <v>0.93636381999999996</v>
      </c>
      <c r="C31" s="3"/>
      <c r="D31" s="186" t="s">
        <v>66</v>
      </c>
      <c r="E31" s="187">
        <v>2.3649112410000002</v>
      </c>
      <c r="F31" s="3"/>
      <c r="G31" s="190" t="s">
        <v>60</v>
      </c>
      <c r="H31" s="191">
        <v>2.6442480339999999</v>
      </c>
    </row>
    <row r="32" spans="1:8" ht="14.5" thickBot="1" x14ac:dyDescent="0.35">
      <c r="A32" s="186" t="s">
        <v>260</v>
      </c>
      <c r="B32" s="187">
        <v>0.88309870000000001</v>
      </c>
      <c r="C32" s="3"/>
      <c r="D32" s="186" t="s">
        <v>67</v>
      </c>
      <c r="E32" s="187">
        <v>1.03369541</v>
      </c>
      <c r="F32" s="3"/>
      <c r="G32" s="190" t="s">
        <v>61</v>
      </c>
      <c r="H32" s="191">
        <v>8.4572313999999996E-2</v>
      </c>
    </row>
    <row r="33" spans="1:8" ht="14.5" thickBot="1" x14ac:dyDescent="0.35">
      <c r="A33" s="186" t="s">
        <v>261</v>
      </c>
      <c r="B33" s="187">
        <v>0.90390701500000004</v>
      </c>
      <c r="C33" s="3"/>
      <c r="D33" s="186" t="s">
        <v>68</v>
      </c>
      <c r="E33" s="187">
        <v>0.63571733799999997</v>
      </c>
      <c r="F33" s="3"/>
      <c r="G33" s="190" t="s">
        <v>69</v>
      </c>
      <c r="H33" s="191">
        <v>43.018700580000001</v>
      </c>
    </row>
    <row r="34" spans="1:8" ht="14.5" thickBot="1" x14ac:dyDescent="0.35">
      <c r="A34" s="186" t="s">
        <v>262</v>
      </c>
      <c r="B34" s="187">
        <v>0.88591428900000002</v>
      </c>
      <c r="C34" s="3"/>
      <c r="D34" s="186" t="s">
        <v>70</v>
      </c>
      <c r="E34" s="187">
        <v>0.85501244300000001</v>
      </c>
      <c r="F34" s="3"/>
      <c r="G34" s="190" t="s">
        <v>71</v>
      </c>
      <c r="H34" s="191">
        <v>7.7863846900000002</v>
      </c>
    </row>
    <row r="35" spans="1:8" ht="14.5" thickBot="1" x14ac:dyDescent="0.35">
      <c r="A35" s="186" t="s">
        <v>263</v>
      </c>
      <c r="B35" s="187">
        <v>0.89903484499999997</v>
      </c>
      <c r="C35" s="3"/>
      <c r="D35" s="186" t="s">
        <v>72</v>
      </c>
      <c r="E35" s="187">
        <v>1.8889344029999999</v>
      </c>
      <c r="F35" s="3"/>
      <c r="G35" s="190" t="s">
        <v>73</v>
      </c>
      <c r="H35" s="191">
        <v>11.339968689999999</v>
      </c>
    </row>
    <row r="36" spans="1:8" ht="14.5" thickBot="1" x14ac:dyDescent="0.35">
      <c r="A36" s="186" t="s">
        <v>264</v>
      </c>
      <c r="B36" s="187">
        <v>0.95723585</v>
      </c>
      <c r="C36" s="3"/>
      <c r="D36" s="186" t="s">
        <v>74</v>
      </c>
      <c r="E36" s="187">
        <v>0.21423489500000001</v>
      </c>
      <c r="F36" s="3"/>
      <c r="G36" s="190" t="s">
        <v>258</v>
      </c>
      <c r="H36" s="191">
        <v>0.37307052000000002</v>
      </c>
    </row>
    <row r="37" spans="1:8" ht="14.5" thickBot="1" x14ac:dyDescent="0.35">
      <c r="A37" s="186" t="s">
        <v>265</v>
      </c>
      <c r="B37" s="187">
        <v>0.97548320799999999</v>
      </c>
      <c r="C37" s="3"/>
      <c r="D37" s="186" t="s">
        <v>75</v>
      </c>
      <c r="E37" s="187">
        <v>1.598062139</v>
      </c>
      <c r="F37" s="3"/>
      <c r="G37" s="190" t="s">
        <v>66</v>
      </c>
      <c r="H37" s="191">
        <v>20.462727910000002</v>
      </c>
    </row>
    <row r="38" spans="1:8" ht="14.5" thickBot="1" x14ac:dyDescent="0.35">
      <c r="A38" s="186" t="s">
        <v>266</v>
      </c>
      <c r="B38" s="187">
        <v>1.012390047</v>
      </c>
      <c r="C38" s="3"/>
      <c r="D38" s="186" t="s">
        <v>76</v>
      </c>
      <c r="E38" s="187">
        <v>1.1157790670000001</v>
      </c>
      <c r="F38" s="3"/>
      <c r="G38" s="190" t="s">
        <v>67</v>
      </c>
      <c r="H38" s="191">
        <v>1.4850106970000001</v>
      </c>
    </row>
    <row r="39" spans="1:8" ht="14.5" thickBot="1" x14ac:dyDescent="0.35">
      <c r="A39" s="186" t="s">
        <v>267</v>
      </c>
      <c r="B39" s="187">
        <v>1.1321484129999999</v>
      </c>
      <c r="C39" s="3"/>
      <c r="D39" s="186" t="s">
        <v>77</v>
      </c>
      <c r="E39" s="187">
        <v>3.2750731999999998E-2</v>
      </c>
      <c r="F39" s="3"/>
      <c r="G39" s="190" t="s">
        <v>68</v>
      </c>
      <c r="H39" s="191">
        <v>3.122478922</v>
      </c>
    </row>
    <row r="40" spans="1:8" ht="14.5" thickBot="1" x14ac:dyDescent="0.35">
      <c r="A40" s="186" t="s">
        <v>229</v>
      </c>
      <c r="B40" s="187">
        <v>1.31998729</v>
      </c>
      <c r="C40" s="3"/>
      <c r="D40" s="186" t="s">
        <v>78</v>
      </c>
      <c r="E40" s="187">
        <v>0.54164994899999996</v>
      </c>
      <c r="F40" s="3"/>
      <c r="G40" s="190" t="s">
        <v>70</v>
      </c>
      <c r="H40" s="191">
        <v>18.437175140000001</v>
      </c>
    </row>
    <row r="41" spans="1:8" ht="14.5" thickBot="1" x14ac:dyDescent="0.35">
      <c r="A41" s="186" t="s">
        <v>232</v>
      </c>
      <c r="B41" s="187">
        <v>1.451287438</v>
      </c>
      <c r="C41" s="3"/>
      <c r="D41" s="186" t="s">
        <v>79</v>
      </c>
      <c r="E41" s="187">
        <v>1.4334575599999999</v>
      </c>
      <c r="F41" s="3"/>
      <c r="G41" s="190" t="s">
        <v>72</v>
      </c>
      <c r="H41" s="191">
        <v>5.4502711120000003</v>
      </c>
    </row>
    <row r="42" spans="1:8" ht="14.5" thickBot="1" x14ac:dyDescent="0.35">
      <c r="A42" s="186" t="s">
        <v>235</v>
      </c>
      <c r="B42" s="187">
        <v>1.635082079</v>
      </c>
      <c r="C42" s="3"/>
      <c r="D42" s="186" t="s">
        <v>80</v>
      </c>
      <c r="E42" s="187">
        <v>0.18883845899999999</v>
      </c>
      <c r="F42" s="3"/>
      <c r="G42" s="190" t="s">
        <v>74</v>
      </c>
      <c r="H42" s="191">
        <v>1.1134122339999999</v>
      </c>
    </row>
    <row r="43" spans="1:8" ht="14.5" thickBot="1" x14ac:dyDescent="0.35">
      <c r="A43" s="186" t="s">
        <v>238</v>
      </c>
      <c r="B43" s="187">
        <v>1.662409851</v>
      </c>
      <c r="C43" s="3"/>
      <c r="D43" s="186" t="s">
        <v>81</v>
      </c>
      <c r="E43" s="187">
        <v>0.30820967599999999</v>
      </c>
      <c r="F43" s="3"/>
      <c r="G43" s="190" t="s">
        <v>75</v>
      </c>
      <c r="H43" s="191">
        <v>3.0385556870000001</v>
      </c>
    </row>
    <row r="44" spans="1:8" ht="14.5" thickBot="1" x14ac:dyDescent="0.35">
      <c r="A44" s="186" t="s">
        <v>241</v>
      </c>
      <c r="B44" s="187">
        <v>1.454006227</v>
      </c>
      <c r="C44" s="3"/>
      <c r="D44" s="186" t="s">
        <v>268</v>
      </c>
      <c r="E44" s="187">
        <v>0.44848775400000002</v>
      </c>
      <c r="F44" s="3"/>
      <c r="G44" s="190" t="s">
        <v>76</v>
      </c>
      <c r="H44" s="191">
        <v>3.9436836390000001</v>
      </c>
    </row>
    <row r="45" spans="1:8" ht="14.5" thickBot="1" x14ac:dyDescent="0.35">
      <c r="A45" s="186" t="s">
        <v>244</v>
      </c>
      <c r="B45" s="187">
        <v>1.4467700889999999</v>
      </c>
      <c r="C45" s="3"/>
      <c r="D45" s="186" t="s">
        <v>269</v>
      </c>
      <c r="E45" s="187">
        <v>0.35002486700000002</v>
      </c>
      <c r="F45" s="3"/>
      <c r="G45" s="190" t="s">
        <v>79</v>
      </c>
      <c r="H45" s="191">
        <v>1.0826609199999999</v>
      </c>
    </row>
    <row r="46" spans="1:8" ht="14.5" thickBot="1" x14ac:dyDescent="0.35">
      <c r="A46" s="186" t="s">
        <v>54</v>
      </c>
      <c r="B46" s="187">
        <v>0.75945327399999996</v>
      </c>
      <c r="C46" s="3"/>
      <c r="D46" s="186" t="s">
        <v>270</v>
      </c>
      <c r="E46" s="187">
        <v>0.11888362</v>
      </c>
      <c r="F46" s="3"/>
      <c r="G46" s="190" t="s">
        <v>268</v>
      </c>
      <c r="H46" s="191">
        <v>0.97566217899999996</v>
      </c>
    </row>
    <row r="47" spans="1:8" ht="14.5" thickBot="1" x14ac:dyDescent="0.35">
      <c r="A47" s="186" t="s">
        <v>62</v>
      </c>
      <c r="B47" s="187">
        <v>1.687825557</v>
      </c>
      <c r="C47" s="3"/>
      <c r="D47" s="186" t="s">
        <v>82</v>
      </c>
      <c r="E47" s="187">
        <v>0.117329611</v>
      </c>
      <c r="F47" s="3"/>
      <c r="G47" s="190" t="s">
        <v>83</v>
      </c>
      <c r="H47" s="191">
        <v>0.28496890200000002</v>
      </c>
    </row>
    <row r="48" spans="1:8" ht="14.5" thickBot="1" x14ac:dyDescent="0.35">
      <c r="A48" s="186" t="s">
        <v>84</v>
      </c>
      <c r="B48" s="187">
        <v>0.49001565600000002</v>
      </c>
      <c r="C48" s="3"/>
      <c r="D48" s="186" t="s">
        <v>85</v>
      </c>
      <c r="E48" s="187">
        <v>0.97676483400000003</v>
      </c>
      <c r="F48" s="3"/>
      <c r="G48" s="190" t="s">
        <v>269</v>
      </c>
      <c r="H48" s="191">
        <v>6.27660894</v>
      </c>
    </row>
    <row r="49" spans="1:8" ht="14.5" thickBot="1" x14ac:dyDescent="0.35">
      <c r="A49" s="186" t="s">
        <v>86</v>
      </c>
      <c r="B49" s="187">
        <v>1.3695732039999999</v>
      </c>
      <c r="C49" s="3"/>
      <c r="D49" s="186" t="s">
        <v>271</v>
      </c>
      <c r="E49" s="187">
        <v>0.13566729999999999</v>
      </c>
      <c r="F49" s="3"/>
      <c r="G49" s="190" t="s">
        <v>270</v>
      </c>
      <c r="H49" s="191">
        <v>1.0273394650000001</v>
      </c>
    </row>
    <row r="50" spans="1:8" ht="14.5" thickBot="1" x14ac:dyDescent="0.35">
      <c r="A50" s="186" t="s">
        <v>55</v>
      </c>
      <c r="B50" s="187">
        <v>0.95658833499999996</v>
      </c>
      <c r="C50" s="3"/>
      <c r="D50" s="186" t="s">
        <v>87</v>
      </c>
      <c r="E50" s="187">
        <v>0.123973017</v>
      </c>
      <c r="F50" s="3"/>
      <c r="G50" s="190" t="s">
        <v>272</v>
      </c>
      <c r="H50" s="191">
        <v>0.96720289999999998</v>
      </c>
    </row>
    <row r="51" spans="1:8" ht="14.5" thickBot="1" x14ac:dyDescent="0.35">
      <c r="A51" s="186" t="s">
        <v>88</v>
      </c>
      <c r="B51" s="187">
        <v>0.19832923299999999</v>
      </c>
      <c r="C51" s="3"/>
      <c r="D51" s="186" t="s">
        <v>89</v>
      </c>
      <c r="E51" s="187">
        <v>0.734207371</v>
      </c>
      <c r="F51" s="3"/>
      <c r="G51" s="190" t="s">
        <v>85</v>
      </c>
      <c r="H51" s="191">
        <v>1.7792132089999999</v>
      </c>
    </row>
    <row r="52" spans="1:8" ht="14.5" thickBot="1" x14ac:dyDescent="0.35">
      <c r="A52" s="186" t="s">
        <v>273</v>
      </c>
      <c r="B52" s="187">
        <v>1.4416996980000001</v>
      </c>
      <c r="C52" s="3"/>
      <c r="D52" s="186" t="s">
        <v>90</v>
      </c>
      <c r="E52" s="187">
        <v>1.010767865</v>
      </c>
      <c r="F52" s="3"/>
      <c r="G52" s="190" t="s">
        <v>271</v>
      </c>
      <c r="H52" s="191">
        <v>0.202071156</v>
      </c>
    </row>
    <row r="53" spans="1:8" ht="14.5" thickBot="1" x14ac:dyDescent="0.35">
      <c r="A53" s="186" t="s">
        <v>274</v>
      </c>
      <c r="B53" s="187">
        <v>2.3766645020000001</v>
      </c>
      <c r="C53" s="3"/>
      <c r="D53" s="186" t="s">
        <v>91</v>
      </c>
      <c r="E53" s="187">
        <v>0.13635222</v>
      </c>
      <c r="F53" s="3"/>
      <c r="G53" s="190" t="s">
        <v>92</v>
      </c>
      <c r="H53" s="191">
        <v>0.247050876</v>
      </c>
    </row>
    <row r="54" spans="1:8" ht="14.5" thickBot="1" x14ac:dyDescent="0.35">
      <c r="A54" s="186" t="s">
        <v>275</v>
      </c>
      <c r="B54" s="187">
        <v>2.15063776</v>
      </c>
      <c r="C54" s="3"/>
      <c r="D54" s="186" t="s">
        <v>93</v>
      </c>
      <c r="E54" s="187">
        <v>0.35709382899999997</v>
      </c>
      <c r="F54" s="3"/>
      <c r="G54" s="190" t="s">
        <v>90</v>
      </c>
      <c r="H54" s="191">
        <v>1.031850605</v>
      </c>
    </row>
    <row r="55" spans="1:8" ht="14.5" thickBot="1" x14ac:dyDescent="0.35">
      <c r="A55" s="186" t="s">
        <v>276</v>
      </c>
      <c r="B55" s="187">
        <v>2.8991193220000002</v>
      </c>
      <c r="C55" s="3"/>
      <c r="D55" s="186" t="s">
        <v>94</v>
      </c>
      <c r="E55" s="187">
        <v>1.158253191</v>
      </c>
      <c r="F55" s="3"/>
      <c r="G55" s="190" t="s">
        <v>277</v>
      </c>
      <c r="H55" s="191">
        <v>0.29320178400000002</v>
      </c>
    </row>
    <row r="56" spans="1:8" ht="14.5" thickBot="1" x14ac:dyDescent="0.35">
      <c r="A56" s="186" t="s">
        <v>278</v>
      </c>
      <c r="B56" s="187">
        <v>0.353836706</v>
      </c>
      <c r="C56" s="3"/>
      <c r="D56" s="186" t="s">
        <v>95</v>
      </c>
      <c r="E56" s="187">
        <v>0.55042791499999999</v>
      </c>
      <c r="F56" s="3"/>
      <c r="G56" s="190" t="s">
        <v>93</v>
      </c>
      <c r="H56" s="191">
        <v>0.65196210499999996</v>
      </c>
    </row>
    <row r="57" spans="1:8" ht="14.5" thickBot="1" x14ac:dyDescent="0.35">
      <c r="A57" s="186" t="s">
        <v>279</v>
      </c>
      <c r="B57" s="187">
        <v>2.297667975</v>
      </c>
      <c r="C57" s="3"/>
      <c r="D57" s="186" t="s">
        <v>96</v>
      </c>
      <c r="E57" s="187">
        <v>1.05849024</v>
      </c>
      <c r="F57" s="3"/>
      <c r="G57" s="190" t="s">
        <v>95</v>
      </c>
      <c r="H57" s="191">
        <v>2.8357386330000001</v>
      </c>
    </row>
    <row r="58" spans="1:8" ht="14.5" thickBot="1" x14ac:dyDescent="0.35">
      <c r="A58" s="186" t="s">
        <v>280</v>
      </c>
      <c r="B58" s="187">
        <v>0.94514910600000002</v>
      </c>
      <c r="C58" s="3"/>
      <c r="D58" s="186" t="s">
        <v>97</v>
      </c>
      <c r="E58" s="187">
        <v>1.00333962</v>
      </c>
      <c r="F58" s="3"/>
      <c r="G58" s="190" t="s">
        <v>96</v>
      </c>
      <c r="H58" s="191">
        <v>5.6421714209999996</v>
      </c>
    </row>
    <row r="59" spans="1:8" ht="14.5" thickBot="1" x14ac:dyDescent="0.35">
      <c r="A59" s="186" t="s">
        <v>281</v>
      </c>
      <c r="B59" s="187">
        <v>1.669459509</v>
      </c>
      <c r="C59" s="3"/>
      <c r="D59" s="186" t="s">
        <v>98</v>
      </c>
      <c r="E59" s="187">
        <v>1.6628088000000001</v>
      </c>
      <c r="F59" s="3"/>
      <c r="G59" s="190" t="s">
        <v>97</v>
      </c>
      <c r="H59" s="191">
        <v>7.0004989799999997</v>
      </c>
    </row>
    <row r="60" spans="1:8" ht="14.5" thickBot="1" x14ac:dyDescent="0.35">
      <c r="A60" s="186" t="s">
        <v>282</v>
      </c>
      <c r="B60" s="187">
        <v>0.76137779500000002</v>
      </c>
      <c r="C60" s="3"/>
      <c r="D60" s="186" t="s">
        <v>99</v>
      </c>
      <c r="E60" s="187">
        <v>2.2774804710000001</v>
      </c>
      <c r="F60" s="3"/>
      <c r="G60" s="190" t="s">
        <v>98</v>
      </c>
      <c r="H60" s="191">
        <v>9.2813654149999998</v>
      </c>
    </row>
    <row r="61" spans="1:8" ht="14.5" thickBot="1" x14ac:dyDescent="0.35">
      <c r="A61" s="186" t="s">
        <v>283</v>
      </c>
      <c r="B61" s="187">
        <v>1.090446593</v>
      </c>
      <c r="C61" s="3"/>
      <c r="D61" s="186" t="s">
        <v>284</v>
      </c>
      <c r="E61" s="187">
        <v>0.20901736400000001</v>
      </c>
      <c r="F61" s="3"/>
      <c r="G61" s="190" t="s">
        <v>99</v>
      </c>
      <c r="H61" s="191">
        <v>22.78245545</v>
      </c>
    </row>
    <row r="62" spans="1:8" ht="14.5" thickBot="1" x14ac:dyDescent="0.35">
      <c r="A62" s="186" t="s">
        <v>285</v>
      </c>
      <c r="B62" s="187">
        <v>1.979249059</v>
      </c>
      <c r="C62" s="3"/>
      <c r="D62" s="186" t="s">
        <v>286</v>
      </c>
      <c r="E62" s="187">
        <v>-5.7185648999999998E-2</v>
      </c>
      <c r="F62" s="3"/>
      <c r="G62" s="190" t="s">
        <v>284</v>
      </c>
      <c r="H62" s="191">
        <v>2.3961070929999999</v>
      </c>
    </row>
    <row r="63" spans="1:8" ht="14.5" thickBot="1" x14ac:dyDescent="0.35">
      <c r="A63" s="186" t="s">
        <v>287</v>
      </c>
      <c r="B63" s="187">
        <v>0.87350234299999996</v>
      </c>
      <c r="C63" s="3"/>
      <c r="D63" s="186" t="s">
        <v>288</v>
      </c>
      <c r="E63" s="187">
        <v>-3.0152924000000001E-2</v>
      </c>
      <c r="F63" s="3"/>
      <c r="G63" s="190" t="s">
        <v>100</v>
      </c>
      <c r="H63" s="191">
        <v>-1.8149768E-2</v>
      </c>
    </row>
    <row r="64" spans="1:8" ht="14.5" thickBot="1" x14ac:dyDescent="0.35">
      <c r="A64" s="186" t="s">
        <v>289</v>
      </c>
      <c r="B64" s="187">
        <v>3.0770671169999999</v>
      </c>
      <c r="C64" s="3"/>
      <c r="D64" s="186" t="s">
        <v>101</v>
      </c>
      <c r="E64" s="187">
        <v>-0.25658336199999998</v>
      </c>
      <c r="F64" s="3"/>
      <c r="G64" s="190" t="s">
        <v>102</v>
      </c>
      <c r="H64" s="191">
        <v>-0.51051338199999996</v>
      </c>
    </row>
    <row r="65" spans="1:8" ht="14.5" thickBot="1" x14ac:dyDescent="0.35">
      <c r="A65" s="186" t="s">
        <v>290</v>
      </c>
      <c r="B65" s="187">
        <v>3.2412192110000002</v>
      </c>
      <c r="C65" s="3"/>
      <c r="D65" s="186" t="s">
        <v>103</v>
      </c>
      <c r="E65" s="187">
        <v>0.46201878800000001</v>
      </c>
      <c r="F65" s="3"/>
      <c r="G65" s="190" t="s">
        <v>104</v>
      </c>
      <c r="H65" s="191">
        <v>4.4538319999999999E-2</v>
      </c>
    </row>
    <row r="66" spans="1:8" ht="14.5" thickBot="1" x14ac:dyDescent="0.35">
      <c r="A66" s="186" t="s">
        <v>291</v>
      </c>
      <c r="B66" s="187">
        <v>0.1621879</v>
      </c>
      <c r="C66" s="3"/>
      <c r="D66" s="186" t="s">
        <v>105</v>
      </c>
      <c r="E66" s="187">
        <v>0.21013527600000001</v>
      </c>
      <c r="F66" s="3"/>
      <c r="G66" s="190" t="s">
        <v>106</v>
      </c>
      <c r="H66" s="191">
        <v>-0.45955501500000001</v>
      </c>
    </row>
    <row r="67" spans="1:8" ht="14.5" thickBot="1" x14ac:dyDescent="0.35">
      <c r="A67" s="186" t="s">
        <v>107</v>
      </c>
      <c r="B67" s="187">
        <v>0.66559991399999996</v>
      </c>
      <c r="C67" s="3"/>
      <c r="D67" s="186" t="s">
        <v>108</v>
      </c>
      <c r="E67" s="187">
        <v>0.35874070600000002</v>
      </c>
      <c r="F67" s="3"/>
      <c r="G67" s="190" t="s">
        <v>109</v>
      </c>
      <c r="H67" s="191">
        <v>-0.20828002600000001</v>
      </c>
    </row>
    <row r="68" spans="1:8" ht="14.5" thickBot="1" x14ac:dyDescent="0.35">
      <c r="A68" s="186" t="s">
        <v>110</v>
      </c>
      <c r="B68" s="187">
        <v>1.6100914989999999</v>
      </c>
      <c r="C68" s="3"/>
      <c r="D68" s="28" t="s">
        <v>111</v>
      </c>
      <c r="E68" s="29">
        <v>-0.26642349300000001</v>
      </c>
      <c r="F68" s="3"/>
      <c r="G68" s="190" t="s">
        <v>112</v>
      </c>
      <c r="H68" s="191">
        <v>4.7476702020000001</v>
      </c>
    </row>
    <row r="69" spans="1:8" ht="14.5" thickBot="1" x14ac:dyDescent="0.35">
      <c r="A69" s="186" t="s">
        <v>56</v>
      </c>
      <c r="B69" s="187">
        <v>1.4861178150000001</v>
      </c>
      <c r="C69" s="3"/>
      <c r="D69" s="30"/>
      <c r="E69" s="3"/>
      <c r="F69" s="3"/>
      <c r="G69" s="190" t="s">
        <v>113</v>
      </c>
      <c r="H69" s="191">
        <v>3.26047873</v>
      </c>
    </row>
    <row r="70" spans="1:8" ht="14.5" thickBot="1" x14ac:dyDescent="0.35">
      <c r="A70" s="186" t="s">
        <v>114</v>
      </c>
      <c r="B70" s="187">
        <v>1.8002998480000001</v>
      </c>
      <c r="C70" s="3"/>
      <c r="D70" s="3"/>
      <c r="E70" s="3"/>
      <c r="F70" s="3"/>
      <c r="G70" s="190" t="s">
        <v>115</v>
      </c>
      <c r="H70" s="191">
        <v>1.491606727</v>
      </c>
    </row>
    <row r="71" spans="1:8" ht="14.5" thickBot="1" x14ac:dyDescent="0.35">
      <c r="A71" s="186" t="s">
        <v>116</v>
      </c>
      <c r="B71" s="187">
        <v>2.3952149679999999</v>
      </c>
      <c r="C71" s="3"/>
      <c r="D71" s="3"/>
      <c r="E71" s="3"/>
      <c r="F71" s="3"/>
      <c r="G71" s="190" t="s">
        <v>286</v>
      </c>
      <c r="H71" s="191">
        <v>0.98683939899999995</v>
      </c>
    </row>
    <row r="72" spans="1:8" ht="14.5" thickBot="1" x14ac:dyDescent="0.35">
      <c r="A72" s="186" t="s">
        <v>117</v>
      </c>
      <c r="B72" s="187">
        <v>4.5600621000000001E-2</v>
      </c>
      <c r="C72" s="3"/>
      <c r="D72" s="3"/>
      <c r="E72" s="3"/>
      <c r="F72" s="3"/>
      <c r="G72" s="190" t="s">
        <v>288</v>
      </c>
      <c r="H72" s="191">
        <v>1.1544308889999999</v>
      </c>
    </row>
    <row r="73" spans="1:8" ht="14.5" thickBot="1" x14ac:dyDescent="0.35">
      <c r="A73" s="186" t="s">
        <v>57</v>
      </c>
      <c r="B73" s="187">
        <v>0.36744314300000003</v>
      </c>
      <c r="C73" s="3"/>
      <c r="D73" s="3"/>
      <c r="E73" s="3"/>
      <c r="F73" s="3"/>
      <c r="G73" s="190" t="s">
        <v>101</v>
      </c>
      <c r="H73" s="191">
        <v>-0.66733539399999997</v>
      </c>
    </row>
    <row r="74" spans="1:8" ht="14.5" thickBot="1" x14ac:dyDescent="0.35">
      <c r="A74" s="186" t="s">
        <v>118</v>
      </c>
      <c r="B74" s="187">
        <v>0.55528265200000004</v>
      </c>
      <c r="C74" s="3"/>
      <c r="D74" s="3"/>
      <c r="E74" s="3"/>
      <c r="F74" s="3"/>
      <c r="G74" s="190" t="s">
        <v>103</v>
      </c>
      <c r="H74" s="191">
        <v>0.23631492000000001</v>
      </c>
    </row>
    <row r="75" spans="1:8" ht="14.5" thickBot="1" x14ac:dyDescent="0.35">
      <c r="A75" s="186" t="s">
        <v>119</v>
      </c>
      <c r="B75" s="187">
        <v>0.39857848600000001</v>
      </c>
      <c r="C75" s="3"/>
      <c r="D75" s="3"/>
      <c r="E75" s="3"/>
      <c r="F75" s="3"/>
      <c r="G75" s="190" t="s">
        <v>105</v>
      </c>
      <c r="H75" s="191">
        <v>-0.113779704</v>
      </c>
    </row>
    <row r="76" spans="1:8" ht="14.5" thickBot="1" x14ac:dyDescent="0.35">
      <c r="A76" s="186" t="s">
        <v>120</v>
      </c>
      <c r="B76" s="187">
        <v>0.12935790699999999</v>
      </c>
      <c r="C76" s="3"/>
      <c r="D76" s="3"/>
      <c r="E76" s="3"/>
      <c r="F76" s="3"/>
      <c r="G76" s="190" t="s">
        <v>108</v>
      </c>
      <c r="H76" s="191">
        <v>-0.17791653900000001</v>
      </c>
    </row>
    <row r="77" spans="1:8" ht="14.5" thickBot="1" x14ac:dyDescent="0.35">
      <c r="A77" s="186" t="s">
        <v>58</v>
      </c>
      <c r="B77" s="187">
        <v>0.43816675300000002</v>
      </c>
      <c r="C77" s="3"/>
      <c r="D77" s="3"/>
      <c r="E77" s="3"/>
      <c r="F77" s="3"/>
      <c r="G77" s="194" t="s">
        <v>121</v>
      </c>
      <c r="H77" s="195">
        <v>0.42941566399999997</v>
      </c>
    </row>
    <row r="78" spans="1:8" ht="14.5" thickBot="1" x14ac:dyDescent="0.35">
      <c r="A78" s="186" t="s">
        <v>59</v>
      </c>
      <c r="B78" s="187">
        <v>1.4268985169999999</v>
      </c>
      <c r="C78" s="3"/>
      <c r="D78" s="3"/>
      <c r="E78" s="3"/>
      <c r="F78" s="3"/>
      <c r="G78" s="196" t="s">
        <v>111</v>
      </c>
      <c r="H78" s="197">
        <v>-0.75493374599999996</v>
      </c>
    </row>
    <row r="79" spans="1:8" ht="14.5" thickBot="1" x14ac:dyDescent="0.35">
      <c r="A79" s="186" t="s">
        <v>65</v>
      </c>
      <c r="B79" s="187">
        <v>4.1618164010000003</v>
      </c>
      <c r="C79" s="3"/>
      <c r="D79" s="3"/>
      <c r="E79" s="3"/>
      <c r="F79" s="3"/>
      <c r="G79" s="3"/>
      <c r="H79" s="3"/>
    </row>
    <row r="80" spans="1:8" ht="14.5" thickBot="1" x14ac:dyDescent="0.35">
      <c r="A80" s="186" t="s">
        <v>122</v>
      </c>
      <c r="B80" s="187">
        <v>7.0608655000000006E-2</v>
      </c>
      <c r="C80" s="3"/>
      <c r="D80" s="3"/>
      <c r="E80" s="3"/>
      <c r="F80" s="3"/>
      <c r="G80" s="3"/>
      <c r="H80" s="3"/>
    </row>
    <row r="81" spans="1:8" ht="14.5" thickBot="1" x14ac:dyDescent="0.35">
      <c r="A81" s="186" t="s">
        <v>60</v>
      </c>
      <c r="B81" s="187">
        <v>3.1638238140000001</v>
      </c>
      <c r="C81" s="3"/>
      <c r="D81" s="3"/>
      <c r="E81" s="3"/>
      <c r="F81" s="3"/>
      <c r="G81" s="3"/>
      <c r="H81" s="3"/>
    </row>
    <row r="82" spans="1:8" ht="14.5" thickBot="1" x14ac:dyDescent="0.35">
      <c r="A82" s="186" t="s">
        <v>61</v>
      </c>
      <c r="B82" s="187">
        <v>0.47382988199999998</v>
      </c>
      <c r="C82" s="3"/>
      <c r="D82" s="3"/>
      <c r="E82" s="3"/>
      <c r="F82" s="3"/>
      <c r="G82" s="3"/>
      <c r="H82" s="3"/>
    </row>
    <row r="83" spans="1:8" ht="14.5" thickBot="1" x14ac:dyDescent="0.35">
      <c r="A83" s="186" t="s">
        <v>63</v>
      </c>
      <c r="B83" s="187">
        <v>1.0297046679999999</v>
      </c>
      <c r="C83" s="3"/>
      <c r="D83" s="3"/>
      <c r="E83" s="3"/>
      <c r="F83" s="3"/>
      <c r="G83" s="3"/>
      <c r="H83" s="3"/>
    </row>
    <row r="84" spans="1:8" ht="14.5" thickBot="1" x14ac:dyDescent="0.35">
      <c r="A84" s="186" t="s">
        <v>123</v>
      </c>
      <c r="B84" s="187">
        <v>4.0448366140000003</v>
      </c>
      <c r="C84" s="3"/>
      <c r="D84" s="3"/>
      <c r="E84" s="3"/>
      <c r="F84" s="3"/>
      <c r="G84" s="3"/>
      <c r="H84" s="3"/>
    </row>
    <row r="85" spans="1:8" ht="14.5" thickBot="1" x14ac:dyDescent="0.35">
      <c r="A85" s="186" t="s">
        <v>124</v>
      </c>
      <c r="B85" s="187">
        <v>1.588859335</v>
      </c>
      <c r="C85" s="3"/>
      <c r="D85" s="3"/>
      <c r="E85" s="3"/>
      <c r="F85" s="3"/>
      <c r="G85" s="3"/>
      <c r="H85" s="3"/>
    </row>
    <row r="86" spans="1:8" ht="14.5" thickBot="1" x14ac:dyDescent="0.35">
      <c r="A86" s="186" t="s">
        <v>125</v>
      </c>
      <c r="B86" s="187">
        <v>0.170825332</v>
      </c>
      <c r="C86" s="3"/>
      <c r="D86" s="3"/>
      <c r="E86" s="3"/>
      <c r="F86" s="3"/>
      <c r="G86" s="3"/>
      <c r="H86" s="3"/>
    </row>
    <row r="87" spans="1:8" ht="14.5" thickBot="1" x14ac:dyDescent="0.35">
      <c r="A87" s="186" t="s">
        <v>126</v>
      </c>
      <c r="B87" s="187">
        <v>0.487834449</v>
      </c>
      <c r="C87" s="3"/>
      <c r="D87" s="3"/>
      <c r="E87" s="3"/>
      <c r="F87" s="3"/>
      <c r="G87" s="3"/>
      <c r="H87" s="3"/>
    </row>
    <row r="88" spans="1:8" ht="14.5" thickBot="1" x14ac:dyDescent="0.35">
      <c r="A88" s="186" t="s">
        <v>127</v>
      </c>
      <c r="B88" s="187">
        <v>0.492899857</v>
      </c>
      <c r="C88" s="3"/>
      <c r="D88" s="3"/>
      <c r="E88" s="3"/>
      <c r="F88" s="3"/>
      <c r="G88" s="3"/>
      <c r="H88" s="3"/>
    </row>
    <row r="89" spans="1:8" ht="14.5" thickBot="1" x14ac:dyDescent="0.35">
      <c r="A89" s="186" t="s">
        <v>71</v>
      </c>
      <c r="B89" s="187">
        <v>0.25908409100000002</v>
      </c>
      <c r="C89" s="3"/>
      <c r="D89" s="3"/>
      <c r="E89" s="3"/>
      <c r="F89" s="3"/>
      <c r="G89" s="3"/>
      <c r="H89" s="3"/>
    </row>
    <row r="90" spans="1:8" ht="14.5" thickBot="1" x14ac:dyDescent="0.35">
      <c r="A90" s="186" t="s">
        <v>73</v>
      </c>
      <c r="B90" s="187">
        <v>0.92104134400000004</v>
      </c>
      <c r="C90" s="3"/>
      <c r="D90" s="3"/>
      <c r="E90" s="3"/>
      <c r="F90" s="3"/>
      <c r="G90" s="3"/>
      <c r="H90" s="3"/>
    </row>
    <row r="91" spans="1:8" ht="14.5" thickBot="1" x14ac:dyDescent="0.35">
      <c r="A91" s="186" t="s">
        <v>64</v>
      </c>
      <c r="B91" s="187">
        <v>0.47346498599999998</v>
      </c>
      <c r="C91" s="3"/>
      <c r="D91" s="3"/>
      <c r="E91" s="3"/>
      <c r="F91" s="3"/>
      <c r="G91" s="3"/>
      <c r="H91" s="3"/>
    </row>
    <row r="92" spans="1:8" ht="14.5" thickBot="1" x14ac:dyDescent="0.35">
      <c r="A92" s="186" t="s">
        <v>292</v>
      </c>
      <c r="B92" s="187">
        <v>1.327046441</v>
      </c>
      <c r="C92" s="3"/>
      <c r="D92" s="3"/>
      <c r="E92" s="3"/>
      <c r="F92" s="3"/>
      <c r="G92" s="3"/>
      <c r="H92" s="3"/>
    </row>
    <row r="93" spans="1:8" ht="14.5" thickBot="1" x14ac:dyDescent="0.35">
      <c r="A93" s="186" t="s">
        <v>128</v>
      </c>
      <c r="B93" s="187">
        <v>1.502504219</v>
      </c>
      <c r="C93" s="3"/>
      <c r="D93" s="3"/>
      <c r="E93" s="3"/>
      <c r="F93" s="3"/>
      <c r="G93" s="3"/>
      <c r="H93" s="3"/>
    </row>
    <row r="94" spans="1:8" ht="14.5" thickBot="1" x14ac:dyDescent="0.35">
      <c r="A94" s="186" t="s">
        <v>66</v>
      </c>
      <c r="B94" s="187">
        <v>2.51085365</v>
      </c>
      <c r="C94" s="3"/>
      <c r="D94" s="3"/>
      <c r="E94" s="3"/>
      <c r="F94" s="3"/>
      <c r="G94" s="3"/>
      <c r="H94" s="3"/>
    </row>
    <row r="95" spans="1:8" ht="14.5" thickBot="1" x14ac:dyDescent="0.35">
      <c r="A95" s="186" t="s">
        <v>67</v>
      </c>
      <c r="B95" s="187">
        <v>1.137202761</v>
      </c>
      <c r="C95" s="3"/>
      <c r="D95" s="3"/>
      <c r="E95" s="3"/>
      <c r="F95" s="3"/>
      <c r="G95" s="3"/>
      <c r="H95" s="3"/>
    </row>
    <row r="96" spans="1:8" ht="14.5" thickBot="1" x14ac:dyDescent="0.35">
      <c r="A96" s="186" t="s">
        <v>68</v>
      </c>
      <c r="B96" s="187">
        <v>0.332458635</v>
      </c>
      <c r="C96" s="3"/>
      <c r="D96" s="3"/>
      <c r="E96" s="3"/>
      <c r="F96" s="3"/>
      <c r="G96" s="3"/>
      <c r="H96" s="3"/>
    </row>
    <row r="97" spans="1:8" ht="14.5" thickBot="1" x14ac:dyDescent="0.35">
      <c r="A97" s="186" t="s">
        <v>129</v>
      </c>
      <c r="B97" s="187">
        <v>0.184492824</v>
      </c>
      <c r="C97" s="3"/>
      <c r="D97" s="3"/>
      <c r="E97" s="3"/>
      <c r="F97" s="3"/>
      <c r="G97" s="3"/>
      <c r="H97" s="3"/>
    </row>
    <row r="98" spans="1:8" ht="14.5" thickBot="1" x14ac:dyDescent="0.35">
      <c r="A98" s="186" t="s">
        <v>72</v>
      </c>
      <c r="B98" s="187">
        <v>0.65299492999999997</v>
      </c>
      <c r="C98" s="3"/>
      <c r="D98" s="3"/>
      <c r="E98" s="3"/>
      <c r="F98" s="3"/>
      <c r="G98" s="3"/>
      <c r="H98" s="3"/>
    </row>
    <row r="99" spans="1:8" ht="14.5" thickBot="1" x14ac:dyDescent="0.35">
      <c r="A99" s="186" t="s">
        <v>74</v>
      </c>
      <c r="B99" s="187">
        <v>1.2025215760000001</v>
      </c>
      <c r="C99" s="3"/>
      <c r="D99" s="3"/>
      <c r="E99" s="3"/>
      <c r="F99" s="3"/>
      <c r="G99" s="3"/>
      <c r="H99" s="3"/>
    </row>
    <row r="100" spans="1:8" ht="14.5" thickBot="1" x14ac:dyDescent="0.35">
      <c r="A100" s="186" t="s">
        <v>130</v>
      </c>
      <c r="B100" s="187">
        <v>0.29964199800000002</v>
      </c>
      <c r="C100" s="3"/>
      <c r="D100" s="3"/>
      <c r="E100" s="3"/>
      <c r="F100" s="3"/>
      <c r="G100" s="3"/>
      <c r="H100" s="3"/>
    </row>
    <row r="101" spans="1:8" ht="14.5" thickBot="1" x14ac:dyDescent="0.35">
      <c r="A101" s="186" t="s">
        <v>75</v>
      </c>
      <c r="B101" s="187">
        <v>1.5665415250000001</v>
      </c>
      <c r="C101" s="3"/>
      <c r="D101" s="3"/>
      <c r="E101" s="3"/>
      <c r="F101" s="3"/>
      <c r="G101" s="3"/>
      <c r="H101" s="3"/>
    </row>
    <row r="102" spans="1:8" ht="14.5" thickBot="1" x14ac:dyDescent="0.35">
      <c r="A102" s="186" t="s">
        <v>76</v>
      </c>
      <c r="B102" s="187">
        <v>1.011220995</v>
      </c>
      <c r="C102" s="3"/>
      <c r="D102" s="3"/>
      <c r="E102" s="3"/>
      <c r="F102" s="3"/>
      <c r="G102" s="3"/>
      <c r="H102" s="3"/>
    </row>
    <row r="103" spans="1:8" ht="14.5" thickBot="1" x14ac:dyDescent="0.35">
      <c r="A103" s="186" t="s">
        <v>131</v>
      </c>
      <c r="B103" s="187">
        <v>3.1735731000000003E-2</v>
      </c>
      <c r="C103" s="3"/>
      <c r="D103" s="3"/>
      <c r="E103" s="3"/>
      <c r="F103" s="3"/>
      <c r="G103" s="3"/>
      <c r="H103" s="3"/>
    </row>
    <row r="104" spans="1:8" ht="14.5" thickBot="1" x14ac:dyDescent="0.35">
      <c r="A104" s="186" t="s">
        <v>132</v>
      </c>
      <c r="B104" s="187">
        <v>0.63165310100000005</v>
      </c>
      <c r="C104" s="3"/>
      <c r="D104" s="3"/>
      <c r="E104" s="3"/>
      <c r="F104" s="3"/>
      <c r="G104" s="3"/>
      <c r="H104" s="3"/>
    </row>
    <row r="105" spans="1:8" ht="14.5" thickBot="1" x14ac:dyDescent="0.35">
      <c r="A105" s="186" t="s">
        <v>133</v>
      </c>
      <c r="B105" s="187">
        <v>0.16413298700000001</v>
      </c>
      <c r="C105" s="3"/>
      <c r="D105" s="3"/>
      <c r="E105" s="3"/>
      <c r="F105" s="3"/>
      <c r="G105" s="3"/>
      <c r="H105" s="3"/>
    </row>
    <row r="106" spans="1:8" ht="14.5" thickBot="1" x14ac:dyDescent="0.35">
      <c r="A106" s="186" t="s">
        <v>293</v>
      </c>
      <c r="B106" s="187">
        <v>0.14741649200000001</v>
      </c>
      <c r="C106" s="3"/>
      <c r="D106" s="3"/>
      <c r="E106" s="3"/>
      <c r="F106" s="3"/>
      <c r="G106" s="3"/>
      <c r="H106" s="3"/>
    </row>
    <row r="107" spans="1:8" ht="14.5" thickBot="1" x14ac:dyDescent="0.35">
      <c r="A107" s="186" t="s">
        <v>134</v>
      </c>
      <c r="B107" s="187">
        <v>0.212248723</v>
      </c>
      <c r="C107" s="3"/>
      <c r="D107" s="3"/>
      <c r="E107" s="3"/>
      <c r="F107" s="3"/>
      <c r="G107" s="3"/>
      <c r="H107" s="3"/>
    </row>
    <row r="108" spans="1:8" ht="14.5" thickBot="1" x14ac:dyDescent="0.35">
      <c r="A108" s="186" t="s">
        <v>135</v>
      </c>
      <c r="B108" s="187">
        <v>0.38755041499999998</v>
      </c>
      <c r="C108" s="3"/>
      <c r="D108" s="3"/>
      <c r="E108" s="3"/>
      <c r="F108" s="3"/>
      <c r="G108" s="3"/>
      <c r="H108" s="3"/>
    </row>
    <row r="109" spans="1:8" ht="14.5" thickBot="1" x14ac:dyDescent="0.35">
      <c r="A109" s="186" t="s">
        <v>136</v>
      </c>
      <c r="B109" s="187">
        <v>0.29543230599999998</v>
      </c>
      <c r="C109" s="3"/>
      <c r="D109" s="3"/>
      <c r="E109" s="3"/>
      <c r="F109" s="3"/>
      <c r="G109" s="3"/>
      <c r="H109" s="3"/>
    </row>
    <row r="110" spans="1:8" ht="14.5" thickBot="1" x14ac:dyDescent="0.35">
      <c r="A110" s="186" t="s">
        <v>137</v>
      </c>
      <c r="B110" s="187">
        <v>0.262834226</v>
      </c>
      <c r="C110" s="3"/>
      <c r="D110" s="3"/>
      <c r="E110" s="3"/>
      <c r="F110" s="3"/>
      <c r="G110" s="3"/>
      <c r="H110" s="3"/>
    </row>
    <row r="111" spans="1:8" ht="14.5" thickBot="1" x14ac:dyDescent="0.35">
      <c r="A111" s="186" t="s">
        <v>138</v>
      </c>
      <c r="B111" s="187">
        <v>0.38616439200000002</v>
      </c>
      <c r="C111" s="3"/>
      <c r="D111" s="3"/>
      <c r="E111" s="3"/>
      <c r="F111" s="3"/>
      <c r="G111" s="3"/>
      <c r="H111" s="3"/>
    </row>
    <row r="112" spans="1:8" ht="14.5" thickBot="1" x14ac:dyDescent="0.35">
      <c r="A112" s="186" t="s">
        <v>139</v>
      </c>
      <c r="B112" s="187">
        <v>0.16565909300000001</v>
      </c>
      <c r="C112" s="3"/>
      <c r="D112" s="3"/>
      <c r="E112" s="3"/>
      <c r="F112" s="3"/>
      <c r="G112" s="3"/>
      <c r="H112" s="3"/>
    </row>
    <row r="113" spans="1:8" ht="14.5" thickBot="1" x14ac:dyDescent="0.35">
      <c r="A113" s="186" t="s">
        <v>140</v>
      </c>
      <c r="B113" s="187">
        <v>0.14382471299999999</v>
      </c>
      <c r="C113" s="3"/>
      <c r="D113" s="3"/>
      <c r="E113" s="3"/>
      <c r="F113" s="3"/>
      <c r="G113" s="3"/>
      <c r="H113" s="3"/>
    </row>
    <row r="114" spans="1:8" ht="14.5" thickBot="1" x14ac:dyDescent="0.35">
      <c r="A114" s="186" t="s">
        <v>141</v>
      </c>
      <c r="B114" s="187">
        <v>0.182079201</v>
      </c>
      <c r="C114" s="3"/>
      <c r="D114" s="3"/>
      <c r="E114" s="3"/>
      <c r="F114" s="3"/>
      <c r="G114" s="3"/>
      <c r="H114" s="3"/>
    </row>
    <row r="115" spans="1:8" ht="14.5" thickBot="1" x14ac:dyDescent="0.35">
      <c r="A115" s="186" t="s">
        <v>142</v>
      </c>
      <c r="B115" s="187">
        <v>0.34743135200000003</v>
      </c>
      <c r="C115" s="3"/>
      <c r="D115" s="3"/>
      <c r="E115" s="3"/>
      <c r="F115" s="3"/>
      <c r="G115" s="3"/>
      <c r="H115" s="3"/>
    </row>
    <row r="116" spans="1:8" ht="14.5" thickBot="1" x14ac:dyDescent="0.35">
      <c r="A116" s="186" t="s">
        <v>77</v>
      </c>
      <c r="B116" s="187">
        <v>0.55534325100000004</v>
      </c>
      <c r="C116" s="3"/>
      <c r="D116" s="3"/>
      <c r="E116" s="3"/>
      <c r="F116" s="3"/>
      <c r="G116" s="3"/>
      <c r="H116" s="3"/>
    </row>
    <row r="117" spans="1:8" ht="14.5" thickBot="1" x14ac:dyDescent="0.35">
      <c r="A117" s="186" t="s">
        <v>78</v>
      </c>
      <c r="B117" s="187">
        <v>1.158859069</v>
      </c>
      <c r="C117" s="3"/>
      <c r="D117" s="3"/>
      <c r="E117" s="3"/>
      <c r="F117" s="3"/>
      <c r="G117" s="3"/>
      <c r="H117" s="3"/>
    </row>
    <row r="118" spans="1:8" ht="14.5" thickBot="1" x14ac:dyDescent="0.35">
      <c r="A118" s="186" t="s">
        <v>79</v>
      </c>
      <c r="B118" s="187">
        <v>0.660440519</v>
      </c>
      <c r="C118" s="3"/>
      <c r="D118" s="3"/>
      <c r="E118" s="3"/>
      <c r="F118" s="3"/>
      <c r="G118" s="3"/>
      <c r="H118" s="3"/>
    </row>
    <row r="119" spans="1:8" ht="14.5" thickBot="1" x14ac:dyDescent="0.35">
      <c r="A119" s="186" t="s">
        <v>80</v>
      </c>
      <c r="B119" s="187">
        <v>2.2969832929999998</v>
      </c>
      <c r="C119" s="3"/>
      <c r="D119" s="3"/>
      <c r="E119" s="3"/>
      <c r="F119" s="3"/>
      <c r="G119" s="3"/>
      <c r="H119" s="3"/>
    </row>
    <row r="120" spans="1:8" ht="14.5" thickBot="1" x14ac:dyDescent="0.35">
      <c r="A120" s="186" t="s">
        <v>143</v>
      </c>
      <c r="B120" s="187">
        <v>0.88113550600000001</v>
      </c>
      <c r="C120" s="3"/>
      <c r="D120" s="3"/>
      <c r="E120" s="3"/>
      <c r="F120" s="3"/>
      <c r="G120" s="3"/>
      <c r="H120" s="3"/>
    </row>
    <row r="121" spans="1:8" ht="14.5" thickBot="1" x14ac:dyDescent="0.35">
      <c r="A121" s="186" t="s">
        <v>144</v>
      </c>
      <c r="B121" s="187">
        <v>0.50281831300000002</v>
      </c>
      <c r="C121" s="3"/>
      <c r="D121" s="3"/>
      <c r="E121" s="3"/>
      <c r="F121" s="3"/>
      <c r="G121" s="3"/>
      <c r="H121" s="3"/>
    </row>
    <row r="122" spans="1:8" ht="14.5" thickBot="1" x14ac:dyDescent="0.35">
      <c r="A122" s="186" t="s">
        <v>145</v>
      </c>
      <c r="B122" s="187">
        <v>0.41110656099999998</v>
      </c>
      <c r="C122" s="3"/>
      <c r="D122" s="3"/>
      <c r="E122" s="3"/>
      <c r="F122" s="3"/>
      <c r="G122" s="3"/>
      <c r="H122" s="3"/>
    </row>
    <row r="123" spans="1:8" ht="14.5" thickBot="1" x14ac:dyDescent="0.35">
      <c r="A123" s="186" t="s">
        <v>81</v>
      </c>
      <c r="B123" s="187">
        <v>0.81850149699999997</v>
      </c>
      <c r="C123" s="3"/>
      <c r="D123" s="3"/>
      <c r="E123" s="3"/>
      <c r="F123" s="3"/>
      <c r="G123" s="3"/>
      <c r="H123" s="3"/>
    </row>
    <row r="124" spans="1:8" ht="14.5" thickBot="1" x14ac:dyDescent="0.35">
      <c r="A124" s="186" t="s">
        <v>146</v>
      </c>
      <c r="B124" s="187">
        <v>0.75923479199999999</v>
      </c>
      <c r="C124" s="3"/>
      <c r="D124" s="3"/>
      <c r="E124" s="3"/>
      <c r="F124" s="3"/>
      <c r="G124" s="3"/>
      <c r="H124" s="3"/>
    </row>
    <row r="125" spans="1:8" ht="14.5" thickBot="1" x14ac:dyDescent="0.35">
      <c r="A125" s="186" t="s">
        <v>294</v>
      </c>
      <c r="B125" s="187">
        <v>1.080938146</v>
      </c>
      <c r="C125" s="3"/>
      <c r="D125" s="3"/>
      <c r="E125" s="3"/>
      <c r="F125" s="3"/>
      <c r="G125" s="3"/>
      <c r="H125" s="3"/>
    </row>
    <row r="126" spans="1:8" ht="14.5" thickBot="1" x14ac:dyDescent="0.35">
      <c r="A126" s="186" t="s">
        <v>83</v>
      </c>
      <c r="B126" s="187">
        <v>0.80139707599999999</v>
      </c>
      <c r="C126" s="3"/>
      <c r="D126" s="3"/>
      <c r="E126" s="3"/>
      <c r="F126" s="3"/>
      <c r="G126" s="3"/>
      <c r="H126" s="3"/>
    </row>
    <row r="127" spans="1:8" ht="14.5" thickBot="1" x14ac:dyDescent="0.35">
      <c r="A127" s="186" t="s">
        <v>147</v>
      </c>
      <c r="B127" s="187">
        <v>0.22198262599999999</v>
      </c>
      <c r="C127" s="3"/>
      <c r="D127" s="3"/>
      <c r="E127" s="3"/>
      <c r="F127" s="3"/>
      <c r="G127" s="3"/>
      <c r="H127" s="3"/>
    </row>
    <row r="128" spans="1:8" ht="14.5" thickBot="1" x14ac:dyDescent="0.35">
      <c r="A128" s="186" t="s">
        <v>148</v>
      </c>
      <c r="B128" s="187">
        <v>1.199108928</v>
      </c>
      <c r="C128" s="3"/>
      <c r="D128" s="3"/>
      <c r="E128" s="3"/>
      <c r="F128" s="3"/>
      <c r="G128" s="3"/>
      <c r="H128" s="3"/>
    </row>
    <row r="129" spans="1:8" ht="14.5" thickBot="1" x14ac:dyDescent="0.35">
      <c r="A129" s="186" t="s">
        <v>269</v>
      </c>
      <c r="B129" s="187">
        <v>2.3928661349999998</v>
      </c>
      <c r="C129" s="3"/>
      <c r="D129" s="3"/>
      <c r="E129" s="3"/>
      <c r="F129" s="3"/>
      <c r="G129" s="3"/>
      <c r="H129" s="3"/>
    </row>
    <row r="130" spans="1:8" ht="14.5" thickBot="1" x14ac:dyDescent="0.35">
      <c r="A130" s="186" t="s">
        <v>270</v>
      </c>
      <c r="B130" s="187">
        <v>1.17129236</v>
      </c>
      <c r="C130" s="3"/>
      <c r="D130" s="3"/>
      <c r="E130" s="3"/>
      <c r="F130" s="3"/>
      <c r="G130" s="3"/>
      <c r="H130" s="3"/>
    </row>
    <row r="131" spans="1:8" ht="14.5" thickBot="1" x14ac:dyDescent="0.35">
      <c r="A131" s="186" t="s">
        <v>149</v>
      </c>
      <c r="B131" s="187">
        <v>0.80177141600000001</v>
      </c>
      <c r="C131" s="3"/>
      <c r="D131" s="3"/>
      <c r="E131" s="3"/>
      <c r="F131" s="3"/>
      <c r="G131" s="3"/>
      <c r="H131" s="3"/>
    </row>
    <row r="132" spans="1:8" ht="14.5" thickBot="1" x14ac:dyDescent="0.35">
      <c r="A132" s="186" t="s">
        <v>272</v>
      </c>
      <c r="B132" s="187">
        <v>1.199247108</v>
      </c>
      <c r="C132" s="3"/>
      <c r="D132" s="3"/>
      <c r="E132" s="3"/>
      <c r="F132" s="3"/>
      <c r="G132" s="3"/>
      <c r="H132" s="3"/>
    </row>
    <row r="133" spans="1:8" ht="14.5" thickBot="1" x14ac:dyDescent="0.35">
      <c r="A133" s="186" t="s">
        <v>150</v>
      </c>
      <c r="B133" s="187">
        <v>0.42811112099999998</v>
      </c>
      <c r="C133" s="3"/>
      <c r="D133" s="3"/>
      <c r="E133" s="3"/>
      <c r="F133" s="3"/>
      <c r="G133" s="3"/>
      <c r="H133" s="3"/>
    </row>
    <row r="134" spans="1:8" ht="14.5" thickBot="1" x14ac:dyDescent="0.35">
      <c r="A134" s="186" t="s">
        <v>82</v>
      </c>
      <c r="B134" s="187">
        <v>0.35208575399999997</v>
      </c>
      <c r="C134" s="3"/>
      <c r="D134" s="3"/>
      <c r="E134" s="3"/>
      <c r="F134" s="3"/>
      <c r="G134" s="3"/>
      <c r="H134" s="3"/>
    </row>
    <row r="135" spans="1:8" ht="14.5" thickBot="1" x14ac:dyDescent="0.35">
      <c r="A135" s="186" t="s">
        <v>151</v>
      </c>
      <c r="B135" s="187">
        <v>0.35272440700000002</v>
      </c>
      <c r="C135" s="3"/>
      <c r="D135" s="3"/>
      <c r="E135" s="3"/>
      <c r="F135" s="3"/>
      <c r="G135" s="3"/>
      <c r="H135" s="3"/>
    </row>
    <row r="136" spans="1:8" ht="14.5" thickBot="1" x14ac:dyDescent="0.35">
      <c r="A136" s="186" t="s">
        <v>152</v>
      </c>
      <c r="B136" s="187">
        <v>0.62954904899999997</v>
      </c>
      <c r="C136" s="3"/>
      <c r="D136" s="3"/>
      <c r="E136" s="3"/>
      <c r="F136" s="3"/>
      <c r="G136" s="3"/>
      <c r="H136" s="3"/>
    </row>
    <row r="137" spans="1:8" ht="14.5" thickBot="1" x14ac:dyDescent="0.35">
      <c r="A137" s="186" t="s">
        <v>153</v>
      </c>
      <c r="B137" s="187">
        <v>1.1806209459999999</v>
      </c>
      <c r="C137" s="3"/>
      <c r="D137" s="3"/>
      <c r="E137" s="3"/>
      <c r="F137" s="3"/>
      <c r="G137" s="3"/>
      <c r="H137" s="3"/>
    </row>
    <row r="138" spans="1:8" ht="14.5" thickBot="1" x14ac:dyDescent="0.35">
      <c r="A138" s="186" t="s">
        <v>154</v>
      </c>
      <c r="B138" s="187">
        <v>0.63043363200000002</v>
      </c>
      <c r="C138" s="3"/>
      <c r="D138" s="3"/>
      <c r="E138" s="3"/>
      <c r="F138" s="3"/>
      <c r="G138" s="3"/>
      <c r="H138" s="3"/>
    </row>
    <row r="139" spans="1:8" ht="14.5" thickBot="1" x14ac:dyDescent="0.35">
      <c r="A139" s="186" t="s">
        <v>155</v>
      </c>
      <c r="B139" s="187">
        <v>0.27323594400000001</v>
      </c>
      <c r="C139" s="3"/>
      <c r="D139" s="3"/>
      <c r="E139" s="3"/>
      <c r="F139" s="3"/>
      <c r="G139" s="3"/>
      <c r="H139" s="3"/>
    </row>
    <row r="140" spans="1:8" ht="14.5" thickBot="1" x14ac:dyDescent="0.35">
      <c r="A140" s="186" t="s">
        <v>156</v>
      </c>
      <c r="B140" s="187">
        <v>0.184362099</v>
      </c>
      <c r="C140" s="3"/>
      <c r="D140" s="3"/>
      <c r="E140" s="3"/>
      <c r="F140" s="3"/>
      <c r="G140" s="3"/>
      <c r="H140" s="3"/>
    </row>
    <row r="141" spans="1:8" ht="14.5" thickBot="1" x14ac:dyDescent="0.35">
      <c r="A141" s="186" t="s">
        <v>157</v>
      </c>
      <c r="B141" s="187">
        <v>0.30967318999999999</v>
      </c>
      <c r="C141" s="3"/>
      <c r="D141" s="3"/>
      <c r="E141" s="3"/>
      <c r="F141" s="3"/>
      <c r="G141" s="3"/>
      <c r="H141" s="3"/>
    </row>
    <row r="142" spans="1:8" ht="14.5" thickBot="1" x14ac:dyDescent="0.35">
      <c r="A142" s="186" t="s">
        <v>85</v>
      </c>
      <c r="B142" s="187">
        <v>3.0865004809999999</v>
      </c>
      <c r="C142" s="3"/>
      <c r="D142" s="3"/>
      <c r="E142" s="3"/>
      <c r="F142" s="3"/>
      <c r="G142" s="3"/>
      <c r="H142" s="3"/>
    </row>
    <row r="143" spans="1:8" ht="14.5" thickBot="1" x14ac:dyDescent="0.35">
      <c r="A143" s="186" t="s">
        <v>158</v>
      </c>
      <c r="B143" s="187">
        <v>0.271666397</v>
      </c>
      <c r="C143" s="3"/>
      <c r="D143" s="3"/>
      <c r="E143" s="3"/>
      <c r="F143" s="3"/>
      <c r="G143" s="3"/>
      <c r="H143" s="3"/>
    </row>
    <row r="144" spans="1:8" ht="14.5" thickBot="1" x14ac:dyDescent="0.35">
      <c r="A144" s="186" t="s">
        <v>159</v>
      </c>
      <c r="B144" s="187">
        <v>0.10074493499999999</v>
      </c>
      <c r="C144" s="3"/>
      <c r="D144" s="3"/>
      <c r="E144" s="3"/>
      <c r="F144" s="3"/>
      <c r="G144" s="3"/>
      <c r="H144" s="3"/>
    </row>
    <row r="145" spans="1:8" ht="14.5" thickBot="1" x14ac:dyDescent="0.35">
      <c r="A145" s="186" t="s">
        <v>271</v>
      </c>
      <c r="B145" s="187">
        <v>0.59284101899999997</v>
      </c>
      <c r="C145" s="3"/>
      <c r="D145" s="3"/>
      <c r="E145" s="3"/>
      <c r="F145" s="3"/>
      <c r="G145" s="3"/>
      <c r="H145" s="3"/>
    </row>
    <row r="146" spans="1:8" ht="14.5" thickBot="1" x14ac:dyDescent="0.35">
      <c r="A146" s="186" t="s">
        <v>87</v>
      </c>
      <c r="B146" s="187">
        <v>0.47878475700000001</v>
      </c>
      <c r="C146" s="3"/>
      <c r="D146" s="3"/>
      <c r="E146" s="3"/>
      <c r="F146" s="3"/>
      <c r="G146" s="3"/>
      <c r="H146" s="3"/>
    </row>
    <row r="147" spans="1:8" ht="14.5" thickBot="1" x14ac:dyDescent="0.35">
      <c r="A147" s="186" t="s">
        <v>295</v>
      </c>
      <c r="B147" s="187">
        <v>9.9562875999999995E-2</v>
      </c>
      <c r="C147" s="3"/>
      <c r="D147" s="3"/>
      <c r="E147" s="3"/>
      <c r="F147" s="3"/>
      <c r="G147" s="3"/>
      <c r="H147" s="3"/>
    </row>
    <row r="148" spans="1:8" ht="14.5" thickBot="1" x14ac:dyDescent="0.35">
      <c r="A148" s="186" t="s">
        <v>160</v>
      </c>
      <c r="B148" s="187">
        <v>0.248648917</v>
      </c>
      <c r="C148" s="3"/>
      <c r="D148" s="3"/>
      <c r="E148" s="3"/>
      <c r="F148" s="3"/>
      <c r="G148" s="3"/>
      <c r="H148" s="3"/>
    </row>
    <row r="149" spans="1:8" ht="14.5" thickBot="1" x14ac:dyDescent="0.35">
      <c r="A149" s="186" t="s">
        <v>161</v>
      </c>
      <c r="B149" s="187">
        <v>0.32125130600000001</v>
      </c>
      <c r="C149" s="3"/>
      <c r="D149" s="3"/>
      <c r="E149" s="3"/>
      <c r="F149" s="3"/>
      <c r="G149" s="3"/>
      <c r="H149" s="3"/>
    </row>
    <row r="150" spans="1:8" ht="14.5" thickBot="1" x14ac:dyDescent="0.35">
      <c r="A150" s="186" t="s">
        <v>89</v>
      </c>
      <c r="B150" s="187">
        <v>0.61662547999999995</v>
      </c>
      <c r="C150" s="3"/>
      <c r="D150" s="3"/>
      <c r="E150" s="3"/>
      <c r="F150" s="3"/>
      <c r="G150" s="3"/>
      <c r="H150" s="3"/>
    </row>
    <row r="151" spans="1:8" ht="14.5" thickBot="1" x14ac:dyDescent="0.35">
      <c r="A151" s="186" t="s">
        <v>296</v>
      </c>
      <c r="B151" s="187">
        <v>0.10774065200000001</v>
      </c>
      <c r="C151" s="3"/>
      <c r="D151" s="3"/>
      <c r="E151" s="3"/>
      <c r="F151" s="3"/>
      <c r="G151" s="3"/>
      <c r="H151" s="3"/>
    </row>
    <row r="152" spans="1:8" ht="14.5" thickBot="1" x14ac:dyDescent="0.35">
      <c r="A152" s="186" t="s">
        <v>162</v>
      </c>
      <c r="B152" s="187">
        <v>0.47140445399999997</v>
      </c>
      <c r="C152" s="3"/>
      <c r="D152" s="3"/>
      <c r="E152" s="3"/>
      <c r="F152" s="3"/>
      <c r="G152" s="3"/>
      <c r="H152" s="3"/>
    </row>
    <row r="153" spans="1:8" ht="14.5" thickBot="1" x14ac:dyDescent="0.35">
      <c r="A153" s="186" t="s">
        <v>92</v>
      </c>
      <c r="B153" s="187">
        <v>0.34941380900000002</v>
      </c>
      <c r="C153" s="3"/>
      <c r="D153" s="3"/>
      <c r="E153" s="3"/>
      <c r="F153" s="3"/>
      <c r="G153" s="3"/>
      <c r="H153" s="3"/>
    </row>
    <row r="154" spans="1:8" ht="14.5" thickBot="1" x14ac:dyDescent="0.35">
      <c r="A154" s="186" t="s">
        <v>163</v>
      </c>
      <c r="B154" s="187">
        <v>4.3363125919999996</v>
      </c>
      <c r="C154" s="3"/>
      <c r="D154" s="3"/>
      <c r="E154" s="3"/>
      <c r="F154" s="3"/>
      <c r="G154" s="3"/>
      <c r="H154" s="3"/>
    </row>
    <row r="155" spans="1:8" ht="14.5" thickBot="1" x14ac:dyDescent="0.35">
      <c r="A155" s="186" t="s">
        <v>90</v>
      </c>
      <c r="B155" s="187">
        <v>0.98755141400000002</v>
      </c>
      <c r="C155" s="3"/>
      <c r="D155" s="3"/>
      <c r="E155" s="3"/>
      <c r="F155" s="3"/>
      <c r="G155" s="3"/>
      <c r="H155" s="3"/>
    </row>
    <row r="156" spans="1:8" ht="14.5" thickBot="1" x14ac:dyDescent="0.35">
      <c r="A156" s="186" t="s">
        <v>91</v>
      </c>
      <c r="B156" s="187">
        <v>0.43975085800000002</v>
      </c>
      <c r="C156" s="3"/>
      <c r="D156" s="3"/>
      <c r="E156" s="3"/>
      <c r="F156" s="3"/>
      <c r="G156" s="3"/>
      <c r="H156" s="3"/>
    </row>
    <row r="157" spans="1:8" ht="14.5" thickBot="1" x14ac:dyDescent="0.35">
      <c r="A157" s="186" t="s">
        <v>164</v>
      </c>
      <c r="B157" s="187">
        <v>0.67418375600000002</v>
      </c>
      <c r="C157" s="3"/>
      <c r="D157" s="3"/>
      <c r="E157" s="3"/>
      <c r="F157" s="3"/>
      <c r="G157" s="3"/>
      <c r="H157" s="3"/>
    </row>
    <row r="158" spans="1:8" ht="14.5" thickBot="1" x14ac:dyDescent="0.35">
      <c r="A158" s="186" t="s">
        <v>165</v>
      </c>
      <c r="B158" s="187">
        <v>0.13903840000000001</v>
      </c>
      <c r="C158" s="3"/>
      <c r="D158" s="3"/>
      <c r="E158" s="3"/>
      <c r="F158" s="3"/>
      <c r="G158" s="3"/>
      <c r="H158" s="3"/>
    </row>
    <row r="159" spans="1:8" ht="14.5" thickBot="1" x14ac:dyDescent="0.35">
      <c r="A159" s="186" t="s">
        <v>166</v>
      </c>
      <c r="B159" s="187">
        <v>0.377944479</v>
      </c>
      <c r="C159" s="3"/>
      <c r="D159" s="3"/>
      <c r="E159" s="3"/>
      <c r="F159" s="3"/>
      <c r="G159" s="3"/>
      <c r="H159" s="3"/>
    </row>
    <row r="160" spans="1:8" ht="14.5" thickBot="1" x14ac:dyDescent="0.35">
      <c r="A160" s="186" t="s">
        <v>277</v>
      </c>
      <c r="B160" s="187">
        <v>0.81461985000000003</v>
      </c>
      <c r="C160" s="3"/>
      <c r="D160" s="3"/>
      <c r="E160" s="3"/>
      <c r="F160" s="3"/>
      <c r="G160" s="3"/>
      <c r="H160" s="3"/>
    </row>
    <row r="161" spans="1:8" ht="14.5" thickBot="1" x14ac:dyDescent="0.35">
      <c r="A161" s="186" t="s">
        <v>167</v>
      </c>
      <c r="B161" s="187">
        <v>0.28733545999999999</v>
      </c>
      <c r="C161" s="3"/>
      <c r="D161" s="3"/>
      <c r="E161" s="3"/>
      <c r="F161" s="3"/>
      <c r="G161" s="3"/>
      <c r="H161" s="3"/>
    </row>
    <row r="162" spans="1:8" ht="14.5" thickBot="1" x14ac:dyDescent="0.35">
      <c r="A162" s="186" t="s">
        <v>93</v>
      </c>
      <c r="B162" s="187">
        <v>0.29711791300000001</v>
      </c>
      <c r="C162" s="3"/>
      <c r="D162" s="3"/>
      <c r="E162" s="3"/>
      <c r="F162" s="3"/>
      <c r="G162" s="3"/>
      <c r="H162" s="3"/>
    </row>
    <row r="163" spans="1:8" ht="14.5" thickBot="1" x14ac:dyDescent="0.35">
      <c r="A163" s="186" t="s">
        <v>94</v>
      </c>
      <c r="B163" s="187">
        <v>0.77888725400000003</v>
      </c>
      <c r="C163" s="3"/>
      <c r="D163" s="3"/>
      <c r="E163" s="3"/>
      <c r="F163" s="3"/>
      <c r="G163" s="3"/>
      <c r="H163" s="3"/>
    </row>
    <row r="164" spans="1:8" ht="14.5" thickBot="1" x14ac:dyDescent="0.35">
      <c r="A164" s="186" t="s">
        <v>95</v>
      </c>
      <c r="B164" s="187">
        <v>0.25150713899999999</v>
      </c>
      <c r="C164" s="3"/>
      <c r="D164" s="3"/>
      <c r="E164" s="3"/>
      <c r="F164" s="3"/>
      <c r="G164" s="3"/>
      <c r="H164" s="3"/>
    </row>
    <row r="165" spans="1:8" ht="14.5" thickBot="1" x14ac:dyDescent="0.35">
      <c r="A165" s="186" t="s">
        <v>96</v>
      </c>
      <c r="B165" s="187">
        <v>0.27257185099999998</v>
      </c>
      <c r="C165" s="3"/>
      <c r="D165" s="3"/>
      <c r="E165" s="3"/>
      <c r="F165" s="3"/>
      <c r="G165" s="3"/>
      <c r="H165" s="3"/>
    </row>
    <row r="166" spans="1:8" ht="14.5" thickBot="1" x14ac:dyDescent="0.35">
      <c r="A166" s="186" t="s">
        <v>97</v>
      </c>
      <c r="B166" s="187">
        <v>4.7416947000000001E-2</v>
      </c>
      <c r="C166" s="3"/>
      <c r="D166" s="3"/>
      <c r="E166" s="3"/>
      <c r="F166" s="3"/>
      <c r="G166" s="3"/>
      <c r="H166" s="3"/>
    </row>
    <row r="167" spans="1:8" ht="14.5" thickBot="1" x14ac:dyDescent="0.35">
      <c r="A167" s="186" t="s">
        <v>98</v>
      </c>
      <c r="B167" s="187">
        <v>0.23554076900000001</v>
      </c>
      <c r="C167" s="3"/>
      <c r="D167" s="3"/>
      <c r="E167" s="3"/>
      <c r="F167" s="3"/>
      <c r="G167" s="3"/>
      <c r="H167" s="3"/>
    </row>
    <row r="168" spans="1:8" ht="14.5" thickBot="1" x14ac:dyDescent="0.35">
      <c r="A168" s="186" t="s">
        <v>99</v>
      </c>
      <c r="B168" s="187">
        <v>0.95946577200000005</v>
      </c>
      <c r="C168" s="3"/>
      <c r="D168" s="3"/>
      <c r="E168" s="3"/>
      <c r="F168" s="3"/>
      <c r="G168" s="3"/>
      <c r="H168" s="3"/>
    </row>
    <row r="169" spans="1:8" ht="14.5" thickBot="1" x14ac:dyDescent="0.35">
      <c r="A169" s="186" t="s">
        <v>284</v>
      </c>
      <c r="B169" s="187">
        <v>0.71969459999999996</v>
      </c>
      <c r="C169" s="3"/>
      <c r="D169" s="3"/>
      <c r="E169" s="3"/>
      <c r="F169" s="3"/>
      <c r="G169" s="3"/>
      <c r="H169" s="3"/>
    </row>
    <row r="170" spans="1:8" ht="14.5" thickBot="1" x14ac:dyDescent="0.35">
      <c r="A170" s="186" t="s">
        <v>297</v>
      </c>
      <c r="B170" s="187">
        <v>-0.17036105800000001</v>
      </c>
      <c r="C170" s="3"/>
      <c r="D170" s="3"/>
      <c r="E170" s="3"/>
      <c r="F170" s="3"/>
      <c r="G170" s="3"/>
      <c r="H170" s="3"/>
    </row>
    <row r="171" spans="1:8" ht="14.5" thickBot="1" x14ac:dyDescent="0.35">
      <c r="A171" s="186" t="s">
        <v>298</v>
      </c>
      <c r="B171" s="187">
        <v>1.0337842E-2</v>
      </c>
      <c r="C171" s="3"/>
      <c r="D171" s="3"/>
      <c r="E171" s="3"/>
      <c r="F171" s="3"/>
      <c r="G171" s="3"/>
      <c r="H171" s="3"/>
    </row>
    <row r="172" spans="1:8" ht="14.5" thickBot="1" x14ac:dyDescent="0.35">
      <c r="A172" s="186" t="s">
        <v>299</v>
      </c>
      <c r="B172" s="187">
        <v>2.8401840539999998</v>
      </c>
      <c r="C172" s="3"/>
      <c r="D172" s="3"/>
      <c r="E172" s="3"/>
      <c r="F172" s="3"/>
      <c r="G172" s="3"/>
      <c r="H172" s="3"/>
    </row>
    <row r="173" spans="1:8" ht="14.5" thickBot="1" x14ac:dyDescent="0.35">
      <c r="A173" s="186" t="s">
        <v>100</v>
      </c>
      <c r="B173" s="187">
        <v>1.6117374710000001</v>
      </c>
      <c r="C173" s="3"/>
      <c r="D173" s="3"/>
      <c r="E173" s="3"/>
      <c r="F173" s="3"/>
      <c r="G173" s="3"/>
      <c r="H173" s="3"/>
    </row>
    <row r="174" spans="1:8" ht="14.5" thickBot="1" x14ac:dyDescent="0.35">
      <c r="A174" s="186" t="s">
        <v>102</v>
      </c>
      <c r="B174" s="187">
        <v>0.27556149499999999</v>
      </c>
      <c r="C174" s="3"/>
      <c r="D174" s="3"/>
      <c r="E174" s="3"/>
      <c r="F174" s="3"/>
      <c r="G174" s="3"/>
      <c r="H174" s="3"/>
    </row>
    <row r="175" spans="1:8" ht="14.5" thickBot="1" x14ac:dyDescent="0.35">
      <c r="A175" s="186" t="s">
        <v>104</v>
      </c>
      <c r="B175" s="187">
        <v>-0.19180251200000001</v>
      </c>
      <c r="C175" s="3"/>
      <c r="D175" s="3"/>
      <c r="E175" s="3"/>
      <c r="F175" s="3"/>
      <c r="G175" s="3"/>
      <c r="H175" s="3"/>
    </row>
    <row r="176" spans="1:8" ht="14.5" thickBot="1" x14ac:dyDescent="0.35">
      <c r="A176" s="186" t="s">
        <v>106</v>
      </c>
      <c r="B176" s="187">
        <v>0.14578500999999999</v>
      </c>
      <c r="C176" s="3"/>
      <c r="D176" s="3"/>
      <c r="E176" s="3"/>
      <c r="F176" s="3"/>
      <c r="G176" s="3"/>
      <c r="H176" s="3"/>
    </row>
    <row r="177" spans="1:8" ht="14.5" thickBot="1" x14ac:dyDescent="0.35">
      <c r="A177" s="186" t="s">
        <v>109</v>
      </c>
      <c r="B177" s="187">
        <v>0.30946819800000003</v>
      </c>
      <c r="C177" s="3"/>
      <c r="D177" s="3"/>
      <c r="E177" s="3"/>
      <c r="F177" s="3"/>
      <c r="G177" s="3"/>
      <c r="H177" s="3"/>
    </row>
    <row r="178" spans="1:8" ht="14.5" thickBot="1" x14ac:dyDescent="0.35">
      <c r="A178" s="186" t="s">
        <v>112</v>
      </c>
      <c r="B178" s="187">
        <v>-0.12516617099999999</v>
      </c>
      <c r="C178" s="3"/>
      <c r="D178" s="3"/>
      <c r="E178" s="3"/>
      <c r="F178" s="3"/>
      <c r="G178" s="3"/>
      <c r="H178" s="3"/>
    </row>
    <row r="179" spans="1:8" ht="14.5" thickBot="1" x14ac:dyDescent="0.35">
      <c r="A179" s="186" t="s">
        <v>113</v>
      </c>
      <c r="B179" s="187">
        <v>-5.8504866000000003E-2</v>
      </c>
      <c r="C179" s="3"/>
      <c r="D179" s="3"/>
      <c r="E179" s="3"/>
      <c r="F179" s="3"/>
      <c r="G179" s="3"/>
      <c r="H179" s="3"/>
    </row>
    <row r="180" spans="1:8" ht="14.5" thickBot="1" x14ac:dyDescent="0.35">
      <c r="A180" s="186" t="s">
        <v>115</v>
      </c>
      <c r="B180" s="187">
        <v>-0.21529092499999999</v>
      </c>
      <c r="C180" s="3"/>
      <c r="D180" s="3"/>
      <c r="E180" s="3"/>
      <c r="F180" s="3"/>
      <c r="G180" s="3"/>
      <c r="H180" s="3"/>
    </row>
    <row r="181" spans="1:8" ht="14.5" thickBot="1" x14ac:dyDescent="0.35">
      <c r="A181" s="186" t="s">
        <v>286</v>
      </c>
      <c r="B181" s="187">
        <v>-3.5399825000000003E-2</v>
      </c>
      <c r="C181" s="3"/>
      <c r="D181" s="3"/>
      <c r="E181" s="3"/>
      <c r="F181" s="3"/>
      <c r="G181" s="3"/>
      <c r="H181" s="3"/>
    </row>
    <row r="182" spans="1:8" ht="14.5" thickBot="1" x14ac:dyDescent="0.35">
      <c r="A182" s="186" t="s">
        <v>288</v>
      </c>
      <c r="B182" s="187">
        <v>-5.2021565999999998E-2</v>
      </c>
      <c r="C182" s="3"/>
      <c r="D182" s="3"/>
      <c r="E182" s="3"/>
      <c r="F182" s="3"/>
      <c r="G182" s="3"/>
      <c r="H182" s="3"/>
    </row>
    <row r="183" spans="1:8" ht="14.5" thickBot="1" x14ac:dyDescent="0.35">
      <c r="A183" s="186" t="s">
        <v>101</v>
      </c>
      <c r="B183" s="187">
        <v>-5.8021732999999999E-2</v>
      </c>
      <c r="C183" s="3"/>
      <c r="D183" s="3"/>
      <c r="E183" s="3"/>
      <c r="F183" s="3"/>
      <c r="G183" s="3"/>
      <c r="H183" s="3"/>
    </row>
    <row r="184" spans="1:8" ht="14.5" thickBot="1" x14ac:dyDescent="0.35">
      <c r="A184" s="186" t="s">
        <v>103</v>
      </c>
      <c r="B184" s="187">
        <v>2.1565602999999999E-2</v>
      </c>
      <c r="C184" s="3"/>
      <c r="D184" s="3"/>
      <c r="E184" s="3"/>
      <c r="F184" s="3"/>
      <c r="G184" s="3"/>
      <c r="H184" s="3"/>
    </row>
    <row r="185" spans="1:8" ht="14.5" thickBot="1" x14ac:dyDescent="0.35">
      <c r="A185" s="186" t="s">
        <v>105</v>
      </c>
      <c r="B185" s="187">
        <v>4.6288441E-2</v>
      </c>
      <c r="C185" s="3"/>
      <c r="D185" s="3"/>
      <c r="E185" s="3"/>
      <c r="F185" s="3"/>
      <c r="G185" s="3"/>
      <c r="H185" s="3"/>
    </row>
    <row r="186" spans="1:8" ht="14.5" thickBot="1" x14ac:dyDescent="0.35">
      <c r="A186" s="186" t="s">
        <v>108</v>
      </c>
      <c r="B186" s="187">
        <v>-5.6281325E-2</v>
      </c>
      <c r="C186" s="3"/>
      <c r="D186" s="3"/>
      <c r="E186" s="3"/>
      <c r="F186" s="3"/>
      <c r="G186" s="3"/>
      <c r="H186" s="3"/>
    </row>
    <row r="187" spans="1:8" ht="14.5" thickBot="1" x14ac:dyDescent="0.35">
      <c r="A187" s="186" t="s">
        <v>121</v>
      </c>
      <c r="B187" s="187">
        <v>4.7942360000000003E-2</v>
      </c>
      <c r="C187" s="3"/>
      <c r="D187" s="3"/>
      <c r="E187" s="3"/>
      <c r="F187" s="3"/>
      <c r="G187" s="3"/>
      <c r="H187" s="3"/>
    </row>
    <row r="188" spans="1:8" ht="14.5" thickBot="1" x14ac:dyDescent="0.35">
      <c r="A188" s="186" t="s">
        <v>300</v>
      </c>
      <c r="B188" s="187">
        <v>-6.4396610000000007E-2</v>
      </c>
      <c r="C188" s="3"/>
      <c r="D188" s="3"/>
      <c r="E188" s="3"/>
      <c r="F188" s="3"/>
      <c r="G188" s="3"/>
      <c r="H188" s="3"/>
    </row>
    <row r="189" spans="1:8" ht="14.5" thickBot="1" x14ac:dyDescent="0.35">
      <c r="A189" s="186" t="s">
        <v>301</v>
      </c>
      <c r="B189" s="187">
        <v>0.38858716799999998</v>
      </c>
      <c r="C189" s="3"/>
      <c r="D189" s="3"/>
      <c r="E189" s="3"/>
      <c r="F189" s="3"/>
      <c r="G189" s="3"/>
      <c r="H189" s="3"/>
    </row>
    <row r="190" spans="1:8" ht="14.5" thickBot="1" x14ac:dyDescent="0.35">
      <c r="A190" s="186" t="s">
        <v>302</v>
      </c>
      <c r="B190" s="187">
        <v>0.96197324799999995</v>
      </c>
      <c r="C190" s="3"/>
      <c r="D190" s="3"/>
      <c r="E190" s="3"/>
      <c r="F190" s="3"/>
      <c r="G190" s="3"/>
      <c r="H190" s="3"/>
    </row>
    <row r="191" spans="1:8" ht="14.5" thickBot="1" x14ac:dyDescent="0.35">
      <c r="A191" s="186" t="s">
        <v>303</v>
      </c>
      <c r="B191" s="187">
        <v>1.7968392369999999</v>
      </c>
      <c r="C191" s="3"/>
      <c r="D191" s="3"/>
      <c r="E191" s="3"/>
      <c r="F191" s="3"/>
      <c r="G191" s="3"/>
      <c r="H191" s="3"/>
    </row>
    <row r="192" spans="1:8" ht="14.5" thickBot="1" x14ac:dyDescent="0.35">
      <c r="A192" s="186" t="s">
        <v>111</v>
      </c>
      <c r="B192" s="187">
        <v>-0.106721126</v>
      </c>
      <c r="C192" s="3"/>
      <c r="D192" s="3"/>
      <c r="E192" s="3"/>
      <c r="F192" s="3"/>
      <c r="G192" s="3"/>
      <c r="H192" s="3"/>
    </row>
    <row r="193" spans="1:8" ht="14.5" thickBot="1" x14ac:dyDescent="0.35">
      <c r="A193" s="186" t="s">
        <v>304</v>
      </c>
      <c r="B193" s="187">
        <v>-8.52613E-4</v>
      </c>
      <c r="C193" s="3"/>
      <c r="D193" s="3"/>
      <c r="E193" s="3"/>
      <c r="F193" s="3"/>
      <c r="G193" s="3"/>
      <c r="H193" s="3"/>
    </row>
    <row r="194" spans="1:8" ht="14.5" thickBot="1" x14ac:dyDescent="0.35">
      <c r="A194" s="192" t="s">
        <v>305</v>
      </c>
      <c r="B194" s="193">
        <v>2.8059999999999999E-6</v>
      </c>
    </row>
  </sheetData>
  <pageMargins left="0.7" right="0.7" top="0.75" bottom="0.75"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9</vt:i4>
      </vt:variant>
    </vt:vector>
  </HeadingPairs>
  <TitlesOfParts>
    <vt:vector size="9" baseType="lpstr">
      <vt:lpstr>INFO</vt:lpstr>
      <vt:lpstr>Yhteenveto</vt:lpstr>
      <vt:lpstr>Rahoituksen taso 2025</vt:lpstr>
      <vt:lpstr>Jälkikäteistarkistus 2025</vt:lpstr>
      <vt:lpstr>SOTE laskennallinen rahoitus</vt:lpstr>
      <vt:lpstr>PELA laskennallinen rahoitus</vt:lpstr>
      <vt:lpstr>Määräytymistekijät</vt:lpstr>
      <vt:lpstr>Tarvekertoimet</vt:lpstr>
      <vt:lpstr>Tarvetekijät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Hyvinvointialueiden rahoituslaskelma 2025</dc:title>
  <dc:creator>Valkama Roosa (VM)</dc:creator>
  <cp:lastModifiedBy>Valkama Roosa (VM)</cp:lastModifiedBy>
  <dcterms:created xsi:type="dcterms:W3CDTF">2020-05-15T09:22:39Z</dcterms:created>
  <dcterms:modified xsi:type="dcterms:W3CDTF">2024-09-24T07:47:02Z</dcterms:modified>
</cp:coreProperties>
</file>